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hidePivotFieldList="1"/>
  <bookViews>
    <workbookView xWindow="0" yWindow="0" windowWidth="16410" windowHeight="7170"/>
  </bookViews>
  <sheets>
    <sheet name="Cover Page" sheetId="8" r:id="rId1"/>
    <sheet name="Analysis" sheetId="3" r:id="rId2"/>
    <sheet name="Reference" sheetId="7" r:id="rId3"/>
  </sheets>
  <externalReferences>
    <externalReference r:id="rId4"/>
  </externalReferences>
  <definedNames>
    <definedName name="ExpResult">#REF!</definedName>
    <definedName name="InputVal">#REF!</definedName>
    <definedName name="InputValDivMaxTimes10">#REF!</definedName>
    <definedName name="_xlnm.Print_Area" localSheetId="0">'Cover Page'!$A$1:$A$27</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K15" i="3" l="1"/>
  <c r="J15" i="3"/>
  <c r="K14" i="3"/>
  <c r="J14" i="3"/>
  <c r="J16" i="3"/>
  <c r="P14" i="3"/>
  <c r="P15" i="3"/>
  <c r="AD16" i="3" l="1"/>
  <c r="AD15" i="3" l="1"/>
  <c r="W15" i="3"/>
  <c r="D5" i="3"/>
  <c r="Q16" i="3" s="1"/>
  <c r="D6" i="3"/>
  <c r="R11" i="3" s="1"/>
  <c r="L14" i="3"/>
  <c r="D9" i="3"/>
  <c r="U11" i="3"/>
  <c r="Y16" i="3" s="1"/>
  <c r="Y14" i="3"/>
  <c r="D7" i="3"/>
  <c r="S11" i="3"/>
  <c r="W16" i="3" s="1"/>
  <c r="D8" i="3"/>
  <c r="T11" i="3"/>
  <c r="X16" i="3" s="1"/>
  <c r="AD14" i="3"/>
  <c r="Q14" i="3"/>
  <c r="W14" i="3"/>
  <c r="Q11"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I20" i="7"/>
  <c r="I28" i="7"/>
  <c r="V16" i="3" l="1"/>
  <c r="V15" i="3"/>
  <c r="V14" i="3"/>
  <c r="E5" i="3"/>
  <c r="Z16" i="3"/>
  <c r="X15" i="3"/>
  <c r="Q15" i="3"/>
  <c r="Z15" i="3" s="1"/>
  <c r="Y15" i="3"/>
  <c r="X14" i="3"/>
  <c r="Z14" i="3" s="1"/>
  <c r="AA14" i="3" s="1"/>
  <c r="AC14" i="3" s="1"/>
  <c r="AE14" i="3" s="1"/>
  <c r="AA15" i="3" l="1"/>
  <c r="AC15" i="3" s="1"/>
  <c r="AE15" i="3" s="1"/>
  <c r="AA16" i="3"/>
  <c r="AC16" i="3" s="1"/>
  <c r="AE16" i="3" s="1"/>
  <c r="AF14" i="3" s="1"/>
  <c r="AF15" i="3" l="1"/>
  <c r="AF16" i="3"/>
  <c r="AK15" i="3"/>
  <c r="AP15" i="3" s="1"/>
  <c r="AK16" i="3"/>
  <c r="AK14" i="3"/>
  <c r="AO14" i="3" s="1"/>
  <c r="AO15" i="3" l="1"/>
  <c r="AN15" i="3"/>
  <c r="AO16" i="3"/>
  <c r="AN16" i="3"/>
  <c r="AP16" i="3"/>
  <c r="AL14" i="3"/>
  <c r="AM15" i="3" s="1"/>
  <c r="AM14" i="3"/>
  <c r="AN14" i="3"/>
  <c r="AP14" i="3"/>
  <c r="AL15" i="3" l="1"/>
  <c r="AM16" i="3" s="1"/>
  <c r="AL16" i="3" l="1"/>
</calcChain>
</file>

<file path=xl/sharedStrings.xml><?xml version="1.0" encoding="utf-8"?>
<sst xmlns="http://schemas.openxmlformats.org/spreadsheetml/2006/main" count="132" uniqueCount="111">
  <si>
    <t>Risk</t>
  </si>
  <si>
    <t>SCG - Physical Security of Critical Infrastructure</t>
  </si>
  <si>
    <t>Baseline Residual Risk</t>
  </si>
  <si>
    <t>Score Category</t>
  </si>
  <si>
    <t>Original</t>
  </si>
  <si>
    <t>Original Baseline</t>
  </si>
  <si>
    <t>Frequency</t>
  </si>
  <si>
    <t>Safety Consequence</t>
  </si>
  <si>
    <t>Reliability Consequence</t>
  </si>
  <si>
    <t>Compliance Consequence</t>
  </si>
  <si>
    <t>Financial Consequence</t>
  </si>
  <si>
    <t>Baseline</t>
  </si>
  <si>
    <t>(000s)</t>
  </si>
  <si>
    <t>New Consequence Scores, weighted</t>
  </si>
  <si>
    <t>B-first Ordered Mitigations</t>
  </si>
  <si>
    <t>Ordered Mitigations</t>
  </si>
  <si>
    <t>Ordered Cumulative Benefit</t>
  </si>
  <si>
    <t>Ordered Cumulative Cost</t>
  </si>
  <si>
    <t>Enable</t>
  </si>
  <si>
    <t>Project ID</t>
  </si>
  <si>
    <t>Name</t>
  </si>
  <si>
    <t>Annuity</t>
  </si>
  <si>
    <t>New/Existing</t>
  </si>
  <si>
    <t>Life of the Project</t>
  </si>
  <si>
    <t>New Frequency</t>
  </si>
  <si>
    <t>Safety</t>
  </si>
  <si>
    <t>Reliability</t>
  </si>
  <si>
    <t>Compliance</t>
  </si>
  <si>
    <t>Financial</t>
  </si>
  <si>
    <t>New Score</t>
  </si>
  <si>
    <t>Mitigation Weight</t>
  </si>
  <si>
    <t>Rank</t>
  </si>
  <si>
    <t>Existing</t>
  </si>
  <si>
    <t>P2</t>
  </si>
  <si>
    <t>AC- Injection/Withdrawal/metering debottleneck</t>
  </si>
  <si>
    <t>New</t>
  </si>
  <si>
    <t>Weights on Each Mitigation</t>
  </si>
  <si>
    <t>Annuity instead of Capital Cost</t>
  </si>
  <si>
    <t>Probability</t>
  </si>
  <si>
    <t>Description</t>
  </si>
  <si>
    <t>&gt;10 times per year</t>
  </si>
  <si>
    <t>1-10 times per year</t>
  </si>
  <si>
    <t>Once every 1-3 years</t>
  </si>
  <si>
    <t>Once every 3-10 years</t>
  </si>
  <si>
    <t>Once every 10-30 years</t>
  </si>
  <si>
    <t>Once every 30-100 years</t>
  </si>
  <si>
    <t>Once every 100+ years</t>
  </si>
  <si>
    <t>B1</t>
  </si>
  <si>
    <t>• Physical Security Systems
• CAST
• Investigations
• Contract Security
• Site Security Reviews
• Security Awareness Training
• Law Enforcement Liaison and Trade Groups
• CA Utilities Liaison
• Business Resumption Plan
• Gas Security Plans</t>
  </si>
  <si>
    <t>P1</t>
  </si>
  <si>
    <t>• Additional guards, Analyst, Special Agent</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</si>
  <si>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</si>
  <si>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</si>
  <si>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</si>
  <si>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</si>
  <si>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</si>
  <si>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</si>
  <si>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</si>
  <si>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</si>
  <si>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</si>
  <si>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Cyber Security</t>
  </si>
  <si>
    <t>2, 8</t>
  </si>
  <si>
    <t>SDGE - Climate Change Adaptation</t>
  </si>
  <si>
    <t>SCG - Employee, Contractor, Customer and Public  Safety</t>
  </si>
  <si>
    <t>SCG - Records Management</t>
  </si>
  <si>
    <t>SCG - Workforce Planning</t>
  </si>
  <si>
    <t>SCG - Workplace Violence</t>
  </si>
  <si>
    <t>SDGE - Cyber Security</t>
  </si>
  <si>
    <t>SDGE - Employee, Contractor &amp; Public Safety</t>
  </si>
  <si>
    <t>SDGE - Records Management</t>
  </si>
  <si>
    <t>Weights</t>
  </si>
  <si>
    <t>SDGE - Workforce Planning</t>
  </si>
  <si>
    <t>SDGE - Workplace Violence</t>
  </si>
  <si>
    <t>SDGE - Aviation Incident</t>
  </si>
  <si>
    <t>SDGE - Distributed Energy Resources (DERs) Safety and Operational Concerns</t>
  </si>
  <si>
    <t>SDGE - Electric Infrastructure Integrity</t>
  </si>
  <si>
    <t>SDGE - Fail to Black Start</t>
  </si>
  <si>
    <t>SDGE - Major Disturbance to Electrical Service (e.g. Blackout)</t>
  </si>
  <si>
    <t>SDGE - Public Safety Events - Electric</t>
  </si>
  <si>
    <t>SDGE - Unmanned Aircraft System (UAS) Incident</t>
  </si>
  <si>
    <t>SDGE - Wildfires caused by SDG&amp;E Equipment (including 3rd Party Pole Attachments)</t>
  </si>
  <si>
    <t>SCG - Catastrophic Damage involving Gas Infrastructure (Dig-Ins)</t>
  </si>
  <si>
    <t>SCG - Catastrophic Damage Involving Gas Transmission Pipeline Failure</t>
  </si>
  <si>
    <t>SCG - Catastrophic Damage involving Medium and Non-DOT Pipeline Failure</t>
  </si>
  <si>
    <t>SCG - Catastrophic Event related to Storage Well Integrity</t>
  </si>
  <si>
    <t>SDGE - Catastrophic Damage involving Gas Infrastructure (Dig-Ins)</t>
  </si>
  <si>
    <t>SDGE - Catastrophic Damage Involving Gas Transmission Pipeline Failure</t>
  </si>
  <si>
    <t>SDGE - Catastrophic Damage Involving Medium and non-DOT Pipeline Failure</t>
  </si>
  <si>
    <t>SDGE - Violation of Environmental Policies/Procedures</t>
  </si>
  <si>
    <t>2 facilities out of 10 critical remedied with effectiveness of 40%.  Weighted average of all facilities.</t>
  </si>
  <si>
    <t>(Phys Sec) Baseline Physical Security</t>
  </si>
  <si>
    <t>(Phys Sec) Proposed Additional Security Resources</t>
  </si>
  <si>
    <t>(Phys Sec) Proposed Resilliency Operations</t>
  </si>
  <si>
    <t>Adjustment Factor</t>
  </si>
  <si>
    <t>Controls</t>
  </si>
  <si>
    <t>Adjusted Baseline</t>
  </si>
  <si>
    <t>New Score (for life of project)</t>
  </si>
  <si>
    <t>Cost</t>
  </si>
  <si>
    <t>RSE</t>
  </si>
  <si>
    <t>Capital Cost (2017-2019)</t>
  </si>
  <si>
    <t>OM Cost (2017-2019 average)</t>
  </si>
  <si>
    <t>Rationale</t>
  </si>
  <si>
    <t>Frequency %</t>
  </si>
  <si>
    <t>The frequency adjustment was derived from SME risk assessment sheets, comparing the total risk before and after mitigation.  For the life of the project, the team assumed taht long term items, such as fencing, have a life expectancy of 30 years.  Shorter term items, such as electronics, have a life of 5 years.  This yields a weighted average of ~17 years.</t>
  </si>
  <si>
    <t>The frequency adjustment was derived from SME risk assessment sheets, comparing the total risk scores before and after mitigation.  For the life of the project, the team assumed that long term items, such as fencing, have a life expectancy of 30 years.  Shorter term items, such as electronics, have a life of 5 years.  This yields a weighted average of ~17 years.</t>
  </si>
  <si>
    <t>2016 Risk Assessment Mitigation Phase</t>
  </si>
  <si>
    <t>Investigation 16-10-016</t>
  </si>
  <si>
    <t>Risk Spend Efficiency Workpapers to</t>
  </si>
  <si>
    <t>January 2017</t>
  </si>
  <si>
    <t>Physical Security of Critical Gas Infrastructure</t>
  </si>
  <si>
    <t>(Chapter SCG-6-WP-RSE)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</si>
</sst>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1"/>
      <name val="Calibri"/>
      <family val="2"/>
      <scheme val="minor"/>
    </font>
    <font>
      <b/>
      <sz val="16"/>
      <name val="Calibri"/>
      <family val="2"/>
      <scheme val="minor"/>
    </font>
    <font>
      <b/>
      <sz val="14"/>
      <name val="Calibri"/>
      <family val="2"/>
      <scheme val="minor"/>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sz val="8"/>
      <name val="Arial"/>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11"/>
      <color rgb="FF000000"/>
      <name val="Calibri"/>
      <family val="2"/>
      <scheme val="minor"/>
    </font>
    <font>
      <sz val="10"/>
      <name val="Arial"/>
      <family val="2"/>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top style="thin">
        <color indexed="64"/>
      </top>
      <bottom style="thin">
        <color indexed="64"/>
      </bottom>
      <diagonal/>
    </border>
    <border>
      <left/>
      <right/>
      <top style="thin">
        <color indexed="48"/>
      </top>
      <bottom style="double">
        <color indexed="48"/>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15" fillId="9"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6" fillId="20" borderId="0" applyNumberFormat="0" applyBorder="0" applyAlignment="0" applyProtection="0"/>
    <xf numFmtId="0" fontId="17" fillId="24" borderId="10" applyNumberFormat="0" applyAlignment="0" applyProtection="0"/>
    <xf numFmtId="0" fontId="18" fillId="17" borderId="11" applyNumberFormat="0" applyAlignment="0" applyProtection="0"/>
    <xf numFmtId="43" fontId="19" fillId="0" borderId="0" applyFont="0" applyFill="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 fillId="13" borderId="0" applyNumberFormat="0" applyBorder="0" applyAlignment="0" applyProtection="0"/>
    <xf numFmtId="0" fontId="9" fillId="2" borderId="0" applyNumberFormat="0" applyBorder="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21" borderId="10" applyNumberFormat="0" applyAlignment="0" applyProtection="0"/>
    <xf numFmtId="0" fontId="25" fillId="0" borderId="15" applyNumberFormat="0" applyFill="0" applyAlignment="0" applyProtection="0"/>
    <xf numFmtId="0" fontId="25" fillId="21" borderId="0" applyNumberFormat="0" applyBorder="0" applyAlignment="0" applyProtection="0"/>
    <xf numFmtId="0" fontId="19" fillId="28" borderId="0"/>
    <xf numFmtId="0" fontId="26" fillId="0" borderId="0"/>
    <xf numFmtId="0" fontId="27" fillId="0" borderId="0"/>
    <xf numFmtId="0" fontId="5" fillId="0" borderId="0"/>
    <xf numFmtId="0" fontId="28" fillId="0" borderId="0"/>
    <xf numFmtId="0" fontId="19" fillId="28" borderId="0"/>
    <xf numFmtId="0" fontId="28" fillId="0" borderId="0"/>
    <xf numFmtId="0" fontId="27" fillId="0" borderId="0"/>
    <xf numFmtId="0" fontId="29" fillId="0" borderId="0"/>
    <xf numFmtId="0" fontId="27" fillId="0" borderId="0"/>
    <xf numFmtId="0" fontId="19" fillId="28" borderId="0"/>
    <xf numFmtId="0" fontId="19" fillId="28" borderId="0"/>
    <xf numFmtId="0" fontId="27" fillId="0" borderId="0"/>
    <xf numFmtId="0" fontId="19" fillId="28" borderId="0"/>
    <xf numFmtId="0" fontId="19" fillId="28" borderId="0"/>
    <xf numFmtId="0" fontId="19" fillId="28" borderId="0"/>
    <xf numFmtId="0" fontId="19" fillId="28" borderId="0"/>
    <xf numFmtId="0" fontId="19" fillId="20" borderId="10" applyNumberFormat="0" applyFont="0" applyAlignment="0" applyProtection="0"/>
    <xf numFmtId="0" fontId="1" fillId="3" borderId="9" applyNumberFormat="0" applyFont="0" applyAlignment="0" applyProtection="0"/>
    <xf numFmtId="0" fontId="30" fillId="24" borderId="16" applyNumberFormat="0" applyAlignment="0" applyProtection="0"/>
    <xf numFmtId="4" fontId="19" fillId="29" borderId="10" applyNumberFormat="0" applyProtection="0">
      <alignment vertical="center"/>
    </xf>
    <xf numFmtId="4" fontId="19" fillId="29" borderId="10" applyNumberFormat="0" applyProtection="0">
      <alignment vertical="center"/>
    </xf>
    <xf numFmtId="4" fontId="31" fillId="30" borderId="10" applyNumberFormat="0" applyProtection="0">
      <alignment vertical="center"/>
    </xf>
    <xf numFmtId="4" fontId="19" fillId="30" borderId="10" applyNumberFormat="0" applyProtection="0">
      <alignment horizontal="left" vertical="center" indent="1"/>
    </xf>
    <xf numFmtId="4" fontId="19" fillId="30" borderId="10" applyNumberFormat="0" applyProtection="0">
      <alignment horizontal="left" vertical="center" indent="1"/>
    </xf>
    <xf numFmtId="0" fontId="32" fillId="29" borderId="17" applyNumberFormat="0" applyProtection="0">
      <alignment horizontal="left" vertical="top" indent="1"/>
    </xf>
    <xf numFmtId="4" fontId="19" fillId="31" borderId="10" applyNumberFormat="0" applyProtection="0">
      <alignment horizontal="left" vertical="center" indent="1"/>
    </xf>
    <xf numFmtId="4" fontId="19" fillId="31" borderId="10" applyNumberFormat="0" applyProtection="0">
      <alignment horizontal="left" vertical="center" indent="1"/>
    </xf>
    <xf numFmtId="4" fontId="19" fillId="32" borderId="10" applyNumberFormat="0" applyProtection="0">
      <alignment horizontal="right" vertical="center"/>
    </xf>
    <xf numFmtId="4" fontId="19" fillId="32" borderId="10" applyNumberFormat="0" applyProtection="0">
      <alignment horizontal="right" vertical="center"/>
    </xf>
    <xf numFmtId="4" fontId="19" fillId="33" borderId="10" applyNumberFormat="0" applyProtection="0">
      <alignment horizontal="right" vertical="center"/>
    </xf>
    <xf numFmtId="4" fontId="19" fillId="33" borderId="10" applyNumberFormat="0" applyProtection="0">
      <alignment horizontal="right" vertical="center"/>
    </xf>
    <xf numFmtId="4" fontId="19" fillId="34" borderId="18" applyNumberFormat="0" applyProtection="0">
      <alignment horizontal="right" vertical="center"/>
    </xf>
    <xf numFmtId="4" fontId="19" fillId="34" borderId="18" applyNumberFormat="0" applyProtection="0">
      <alignment horizontal="right" vertical="center"/>
    </xf>
    <xf numFmtId="4" fontId="19" fillId="35" borderId="10" applyNumberFormat="0" applyProtection="0">
      <alignment horizontal="right" vertical="center"/>
    </xf>
    <xf numFmtId="4" fontId="19" fillId="35" borderId="10" applyNumberFormat="0" applyProtection="0">
      <alignment horizontal="right" vertical="center"/>
    </xf>
    <xf numFmtId="4" fontId="19" fillId="36" borderId="10" applyNumberFormat="0" applyProtection="0">
      <alignment horizontal="right" vertical="center"/>
    </xf>
    <xf numFmtId="4" fontId="19" fillId="36" borderId="10" applyNumberFormat="0" applyProtection="0">
      <alignment horizontal="right" vertical="center"/>
    </xf>
    <xf numFmtId="4" fontId="19" fillId="37" borderId="10" applyNumberFormat="0" applyProtection="0">
      <alignment horizontal="right" vertical="center"/>
    </xf>
    <xf numFmtId="4" fontId="19" fillId="37" borderId="10" applyNumberFormat="0" applyProtection="0">
      <alignment horizontal="right" vertical="center"/>
    </xf>
    <xf numFmtId="4" fontId="19" fillId="38" borderId="10" applyNumberFormat="0" applyProtection="0">
      <alignment horizontal="right" vertical="center"/>
    </xf>
    <xf numFmtId="4" fontId="19" fillId="38" borderId="10" applyNumberFormat="0" applyProtection="0">
      <alignment horizontal="right" vertical="center"/>
    </xf>
    <xf numFmtId="4" fontId="19" fillId="39" borderId="10" applyNumberFormat="0" applyProtection="0">
      <alignment horizontal="right" vertical="center"/>
    </xf>
    <xf numFmtId="4" fontId="19" fillId="39" borderId="10" applyNumberFormat="0" applyProtection="0">
      <alignment horizontal="right" vertical="center"/>
    </xf>
    <xf numFmtId="4" fontId="19" fillId="40" borderId="10" applyNumberFormat="0" applyProtection="0">
      <alignment horizontal="right" vertical="center"/>
    </xf>
    <xf numFmtId="4" fontId="19" fillId="40" borderId="10" applyNumberFormat="0" applyProtection="0">
      <alignment horizontal="right" vertical="center"/>
    </xf>
    <xf numFmtId="4" fontId="19" fillId="41" borderId="18" applyNumberFormat="0" applyProtection="0">
      <alignment horizontal="left" vertical="center" indent="1"/>
    </xf>
    <xf numFmtId="4" fontId="19" fillId="41" borderId="18" applyNumberFormat="0" applyProtection="0">
      <alignment horizontal="left" vertical="center" indent="1"/>
    </xf>
    <xf numFmtId="4" fontId="27" fillId="42" borderId="18" applyNumberFormat="0" applyProtection="0">
      <alignment horizontal="left" vertical="center" indent="1"/>
    </xf>
    <xf numFmtId="4" fontId="27" fillId="42" borderId="18" applyNumberFormat="0" applyProtection="0">
      <alignment horizontal="left" vertical="center" indent="1"/>
    </xf>
    <xf numFmtId="4" fontId="19" fillId="43" borderId="10" applyNumberFormat="0" applyProtection="0">
      <alignment horizontal="right" vertical="center"/>
    </xf>
    <xf numFmtId="4" fontId="19" fillId="43" borderId="10" applyNumberFormat="0" applyProtection="0">
      <alignment horizontal="right" vertical="center"/>
    </xf>
    <xf numFmtId="4" fontId="19" fillId="44" borderId="18" applyNumberFormat="0" applyProtection="0">
      <alignment horizontal="left" vertical="center" indent="1"/>
    </xf>
    <xf numFmtId="4" fontId="19" fillId="44" borderId="18" applyNumberFormat="0" applyProtection="0">
      <alignment horizontal="left" vertical="center" indent="1"/>
    </xf>
    <xf numFmtId="4" fontId="19" fillId="43" borderId="18" applyNumberFormat="0" applyProtection="0">
      <alignment horizontal="left" vertical="center" indent="1"/>
    </xf>
    <xf numFmtId="4" fontId="19" fillId="43" borderId="18" applyNumberFormat="0" applyProtection="0">
      <alignment horizontal="left" vertical="center" indent="1"/>
    </xf>
    <xf numFmtId="0" fontId="19" fillId="45" borderId="10" applyNumberFormat="0" applyProtection="0">
      <alignment horizontal="left" vertical="center" indent="1"/>
    </xf>
    <xf numFmtId="0" fontId="19" fillId="45" borderId="10" applyNumberFormat="0" applyProtection="0">
      <alignment horizontal="left" vertical="center" indent="1"/>
    </xf>
    <xf numFmtId="0" fontId="19" fillId="42" borderId="17" applyNumberFormat="0" applyProtection="0">
      <alignment horizontal="left" vertical="top" indent="1"/>
    </xf>
    <xf numFmtId="0" fontId="19" fillId="46" borderId="10" applyNumberFormat="0" applyProtection="0">
      <alignment horizontal="left" vertical="center" indent="1"/>
    </xf>
    <xf numFmtId="0" fontId="19" fillId="46" borderId="10" applyNumberFormat="0" applyProtection="0">
      <alignment horizontal="left" vertical="center" indent="1"/>
    </xf>
    <xf numFmtId="0" fontId="19" fillId="43" borderId="17" applyNumberFormat="0" applyProtection="0">
      <alignment horizontal="left" vertical="top" indent="1"/>
    </xf>
    <xf numFmtId="0" fontId="19" fillId="47" borderId="10" applyNumberFormat="0" applyProtection="0">
      <alignment horizontal="left" vertical="center" indent="1"/>
    </xf>
    <xf numFmtId="0" fontId="19" fillId="47" borderId="10" applyNumberFormat="0" applyProtection="0">
      <alignment horizontal="left" vertical="center" indent="1"/>
    </xf>
    <xf numFmtId="0" fontId="19" fillId="47" borderId="17" applyNumberFormat="0" applyProtection="0">
      <alignment horizontal="left" vertical="top" indent="1"/>
    </xf>
    <xf numFmtId="0" fontId="19" fillId="44" borderId="10" applyNumberFormat="0" applyProtection="0">
      <alignment horizontal="left" vertical="center" indent="1"/>
    </xf>
    <xf numFmtId="0" fontId="19" fillId="44" borderId="10" applyNumberFormat="0" applyProtection="0">
      <alignment horizontal="left" vertical="center" indent="1"/>
    </xf>
    <xf numFmtId="0" fontId="19" fillId="44" borderId="17" applyNumberFormat="0" applyProtection="0">
      <alignment horizontal="left" vertical="top" indent="1"/>
    </xf>
    <xf numFmtId="0" fontId="19" fillId="48" borderId="19" applyNumberFormat="0">
      <protection locked="0"/>
    </xf>
    <xf numFmtId="0" fontId="33" fillId="42" borderId="20" applyBorder="0"/>
    <xf numFmtId="4" fontId="34" fillId="49" borderId="17" applyNumberFormat="0" applyProtection="0">
      <alignment vertical="center"/>
    </xf>
    <xf numFmtId="4" fontId="31" fillId="50" borderId="1" applyNumberFormat="0" applyProtection="0">
      <alignment vertical="center"/>
    </xf>
    <xf numFmtId="4" fontId="34" fillId="45" borderId="17" applyNumberFormat="0" applyProtection="0">
      <alignment horizontal="left" vertical="center" indent="1"/>
    </xf>
    <xf numFmtId="0" fontId="34" fillId="49" borderId="17" applyNumberFormat="0" applyProtection="0">
      <alignment horizontal="left" vertical="top" indent="1"/>
    </xf>
    <xf numFmtId="4" fontId="19" fillId="0" borderId="10" applyNumberFormat="0" applyProtection="0">
      <alignment horizontal="right" vertical="center"/>
    </xf>
    <xf numFmtId="4" fontId="19" fillId="0" borderId="10" applyNumberFormat="0" applyProtection="0">
      <alignment horizontal="right" vertical="center"/>
    </xf>
    <xf numFmtId="4" fontId="31" fillId="51" borderId="10" applyNumberFormat="0" applyProtection="0">
      <alignment horizontal="right" vertical="center"/>
    </xf>
    <xf numFmtId="4" fontId="19" fillId="31" borderId="10" applyNumberFormat="0" applyProtection="0">
      <alignment horizontal="left" vertical="center" indent="1"/>
    </xf>
    <xf numFmtId="4" fontId="19" fillId="31" borderId="10" applyNumberFormat="0" applyProtection="0">
      <alignment horizontal="left" vertical="center" indent="1"/>
    </xf>
    <xf numFmtId="0" fontId="34" fillId="43" borderId="17" applyNumberFormat="0" applyProtection="0">
      <alignment horizontal="left" vertical="top" indent="1"/>
    </xf>
    <xf numFmtId="4" fontId="35" fillId="52" borderId="18" applyNumberFormat="0" applyProtection="0">
      <alignment horizontal="left" vertical="center" indent="1"/>
    </xf>
    <xf numFmtId="0" fontId="19" fillId="53" borderId="1"/>
    <xf numFmtId="0" fontId="19" fillId="53" borderId="1"/>
    <xf numFmtId="4" fontId="36" fillId="48" borderId="10" applyNumberFormat="0" applyProtection="0">
      <alignment horizontal="right" vertical="center"/>
    </xf>
    <xf numFmtId="0" fontId="37" fillId="0" borderId="0" applyNumberFormat="0" applyFill="0" applyBorder="0" applyAlignment="0" applyProtection="0"/>
    <xf numFmtId="0" fontId="1" fillId="54" borderId="21">
      <alignment horizontal="center" vertical="center" wrapText="1"/>
    </xf>
    <xf numFmtId="0" fontId="20" fillId="0" borderId="22" applyNumberFormat="0" applyFill="0" applyAlignment="0" applyProtection="0"/>
    <xf numFmtId="0" fontId="38" fillId="0" borderId="0" applyNumberFormat="0" applyFill="0" applyBorder="0" applyAlignment="0" applyProtection="0"/>
  </cellStyleXfs>
  <cellXfs count="77">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6"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2" fillId="0" borderId="1" xfId="0" applyFont="1" applyFill="1" applyBorder="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164" fontId="3" fillId="0" borderId="1" xfId="1" applyNumberFormat="1" applyFont="1" applyFill="1" applyBorder="1"/>
    <xf numFmtId="0" fontId="3" fillId="0" borderId="0" xfId="0" applyFont="1" applyFill="1"/>
    <xf numFmtId="0" fontId="7" fillId="0" borderId="0" xfId="0" applyFont="1" applyFill="1"/>
    <xf numFmtId="0" fontId="3" fillId="0" borderId="0" xfId="0" applyFont="1" applyFill="1" applyAlignment="1">
      <alignment wrapText="1"/>
    </xf>
    <xf numFmtId="170" fontId="3" fillId="0" borderId="0" xfId="0" applyNumberFormat="1" applyFont="1" applyFill="1"/>
    <xf numFmtId="171" fontId="3" fillId="0" borderId="0" xfId="0" applyNumberFormat="1" applyFont="1" applyFill="1"/>
    <xf numFmtId="0" fontId="8" fillId="0" borderId="1" xfId="0" applyFont="1" applyFill="1" applyBorder="1" applyAlignment="1">
      <alignment wrapText="1"/>
    </xf>
    <xf numFmtId="0" fontId="8" fillId="0" borderId="1" xfId="0" applyFont="1" applyFill="1" applyBorder="1" applyAlignment="1"/>
    <xf numFmtId="0" fontId="6" fillId="0" borderId="1" xfId="0" applyFont="1" applyFill="1" applyBorder="1"/>
    <xf numFmtId="0" fontId="6"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0" fontId="3" fillId="0" borderId="0" xfId="0" quotePrefix="1" applyFont="1" applyFill="1"/>
    <xf numFmtId="0" fontId="6" fillId="0" borderId="0" xfId="0" applyFont="1" applyFill="1"/>
    <xf numFmtId="0" fontId="6" fillId="0" borderId="0" xfId="0" applyFont="1" applyFill="1" applyBorder="1" applyAlignment="1">
      <alignment horizontal="center"/>
    </xf>
    <xf numFmtId="0" fontId="6" fillId="0" borderId="0" xfId="0" applyFont="1" applyFill="1" applyAlignment="1">
      <alignment wrapText="1"/>
    </xf>
    <xf numFmtId="170" fontId="6" fillId="0" borderId="0" xfId="0" applyNumberFormat="1" applyFont="1" applyFill="1"/>
    <xf numFmtId="9" fontId="6" fillId="0" borderId="1" xfId="2" applyFont="1" applyFill="1" applyBorder="1" applyAlignment="1">
      <alignment horizontal="center"/>
    </xf>
    <xf numFmtId="171" fontId="6" fillId="0" borderId="0" xfId="0" applyNumberFormat="1" applyFont="1" applyFill="1"/>
    <xf numFmtId="171" fontId="6" fillId="0" borderId="1" xfId="0" applyNumberFormat="1" applyFont="1" applyFill="1" applyBorder="1" applyAlignment="1">
      <alignment wrapText="1"/>
    </xf>
    <xf numFmtId="0" fontId="6" fillId="0" borderId="0" xfId="0" applyFont="1" applyFill="1" applyBorder="1" applyAlignment="1">
      <alignment wrapText="1"/>
    </xf>
    <xf numFmtId="0" fontId="3" fillId="0" borderId="1" xfId="0" applyFont="1" applyFill="1" applyBorder="1"/>
    <xf numFmtId="14" fontId="3" fillId="0" borderId="0" xfId="0" applyNumberFormat="1" applyFont="1" applyFill="1"/>
    <xf numFmtId="0" fontId="3" fillId="0" borderId="1" xfId="0" applyFont="1" applyFill="1" applyBorder="1" applyAlignment="1">
      <alignment wrapText="1"/>
    </xf>
    <xf numFmtId="2" fontId="3" fillId="0" borderId="1" xfId="0" applyNumberFormat="1" applyFont="1" applyFill="1" applyBorder="1" applyAlignment="1">
      <alignment wrapText="1"/>
    </xf>
    <xf numFmtId="2" fontId="3" fillId="0" borderId="1" xfId="0" applyNumberFormat="1" applyFont="1" applyFill="1" applyBorder="1"/>
    <xf numFmtId="170"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43" fontId="3" fillId="0" borderId="1" xfId="3" applyFont="1" applyFill="1" applyBorder="1"/>
    <xf numFmtId="0" fontId="3" fillId="0" borderId="1" xfId="3" applyNumberFormat="1" applyFont="1" applyFill="1" applyBorder="1"/>
    <xf numFmtId="44" fontId="3" fillId="0" borderId="1" xfId="1" applyFont="1" applyFill="1" applyBorder="1"/>
    <xf numFmtId="0" fontId="3" fillId="0" borderId="0" xfId="0" applyFont="1" applyFill="1" applyBorder="1"/>
    <xf numFmtId="43" fontId="3" fillId="0" borderId="0" xfId="0" applyNumberFormat="1" applyFont="1" applyFill="1"/>
    <xf numFmtId="168" fontId="3" fillId="0" borderId="1" xfId="0" applyNumberFormat="1" applyFont="1" applyFill="1" applyBorder="1"/>
    <xf numFmtId="168" fontId="3" fillId="0" borderId="0" xfId="0" applyNumberFormat="1" applyFont="1" applyFill="1" applyBorder="1"/>
    <xf numFmtId="0" fontId="6" fillId="0" borderId="6" xfId="0" applyFont="1" applyFill="1" applyBorder="1" applyAlignment="1">
      <alignment horizontal="left"/>
    </xf>
    <xf numFmtId="0" fontId="6" fillId="0" borderId="7" xfId="0" applyFont="1" applyFill="1" applyBorder="1" applyAlignment="1">
      <alignment horizontal="left"/>
    </xf>
    <xf numFmtId="0" fontId="6" fillId="0" borderId="8" xfId="0" applyFont="1" applyFill="1" applyBorder="1" applyAlignment="1">
      <alignment horizontal="left"/>
    </xf>
    <xf numFmtId="0" fontId="7" fillId="0" borderId="0" xfId="0" applyFont="1" applyFill="1" applyAlignment="1">
      <alignment horizontal="left"/>
    </xf>
    <xf numFmtId="0" fontId="6" fillId="0" borderId="2" xfId="0" applyFont="1" applyFill="1" applyBorder="1" applyAlignment="1">
      <alignment horizontal="center" vertical="center" textRotation="90" wrapText="1"/>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3" fontId="6" fillId="0" borderId="3" xfId="3" applyNumberFormat="1" applyFont="1" applyFill="1" applyBorder="1" applyAlignment="1">
      <alignment horizontal="center" vertical="center"/>
    </xf>
    <xf numFmtId="3" fontId="6" fillId="0" borderId="5" xfId="3" applyNumberFormat="1" applyFont="1" applyFill="1" applyBorder="1" applyAlignment="1">
      <alignment horizontal="center" vertical="center"/>
    </xf>
    <xf numFmtId="3" fontId="6" fillId="0" borderId="4" xfId="3" applyNumberFormat="1" applyFont="1" applyFill="1" applyBorder="1" applyAlignment="1">
      <alignment horizontal="center" vertical="center"/>
    </xf>
    <xf numFmtId="9" fontId="6" fillId="0" borderId="1" xfId="2" applyFont="1" applyFill="1" applyBorder="1" applyAlignment="1">
      <alignment horizontal="center"/>
    </xf>
    <xf numFmtId="0" fontId="6" fillId="0" borderId="1" xfId="0" applyFont="1" applyFill="1" applyBorder="1" applyAlignment="1">
      <alignment horizontal="center"/>
    </xf>
    <xf numFmtId="0" fontId="2" fillId="0" borderId="1" xfId="0" applyFont="1" applyFill="1" applyBorder="1" applyAlignment="1">
      <alignment horizont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pplyAlignment="1">
      <alignment horizontal="center" vertical="center" wrapText="1"/>
    </xf>
    <xf numFmtId="0" fontId="13" fillId="0" borderId="0" xfId="0" applyFont="1" applyAlignment="1">
      <alignment horizontal="center" vertical="center"/>
    </xf>
    <xf numFmtId="17" fontId="14" fillId="0" borderId="0" xfId="0" quotePrefix="1" applyNumberFormat="1" applyFont="1" applyAlignment="1">
      <alignment horizontal="center" vertical="center"/>
    </xf>
    <xf numFmtId="0" fontId="0" fillId="0" borderId="0" xfId="0" applyAlignment="1">
      <alignment horizontal="center"/>
    </xf>
  </cellXfs>
  <cellStyles count="727">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omma 2 2" xfId="626"/>
    <cellStyle name="Currency" xfId="1" builtinId="4"/>
    <cellStyle name="Emphasis 1" xfId="627"/>
    <cellStyle name="Emphasis 2" xfId="628"/>
    <cellStyle name="Emphasis 3" xfId="629"/>
    <cellStyle name="Good 2" xfId="630"/>
    <cellStyle name="Good 2 2" xfId="631"/>
    <cellStyle name="Heading 1 2" xfId="632"/>
    <cellStyle name="Heading 2 2" xfId="633"/>
    <cellStyle name="Heading 3 2" xfId="634"/>
    <cellStyle name="Heading 4 2" xfId="635"/>
    <cellStyle name="Input 2" xfId="636"/>
    <cellStyle name="Linked Cell 2" xfId="637"/>
    <cellStyle name="Neutral 2" xfId="638"/>
    <cellStyle name="Normal" xfId="0" builtinId="0"/>
    <cellStyle name="Normal 2" xfId="639"/>
    <cellStyle name="Normal 2 2" xfId="640"/>
    <cellStyle name="Normal 2 2 2" xfId="641"/>
    <cellStyle name="Normal 2 2_O&amp;M" xfId="642"/>
    <cellStyle name="Normal 2 3" xfId="643"/>
    <cellStyle name="Normal 3" xfId="644"/>
    <cellStyle name="Normal 3 2" xfId="645"/>
    <cellStyle name="Normal 3 2 2" xfId="646"/>
    <cellStyle name="Normal 3 2_O&amp;M" xfId="647"/>
    <cellStyle name="Normal 3 3" xfId="648"/>
    <cellStyle name="Normal 3 4" xfId="649"/>
    <cellStyle name="Normal 4" xfId="650"/>
    <cellStyle name="Normal 4 2" xfId="651"/>
    <cellStyle name="Normal 4 2 2" xfId="652"/>
    <cellStyle name="Normal 4 3" xfId="653"/>
    <cellStyle name="Normal 5" xfId="654"/>
    <cellStyle name="Normal 5 2" xfId="655"/>
    <cellStyle name="Note 2" xfId="656"/>
    <cellStyle name="Note 2 2" xfId="657"/>
    <cellStyle name="Output 2" xfId="658"/>
    <cellStyle name="Percent" xfId="2" builtinId="5"/>
    <cellStyle name="SAPBEXaggData" xfId="659"/>
    <cellStyle name="SAPBEXaggData 2" xfId="660"/>
    <cellStyle name="SAPBEXaggDataEmph" xfId="661"/>
    <cellStyle name="SAPBEXaggItem" xfId="662"/>
    <cellStyle name="SAPBEXaggItem 2" xfId="663"/>
    <cellStyle name="SAPBEXaggItemX" xfId="664"/>
    <cellStyle name="SAPBEXchaText" xfId="665"/>
    <cellStyle name="SAPBEXchaText 2" xfId="666"/>
    <cellStyle name="SAPBEXexcBad7" xfId="667"/>
    <cellStyle name="SAPBEXexcBad7 2" xfId="668"/>
    <cellStyle name="SAPBEXexcBad8" xfId="669"/>
    <cellStyle name="SAPBEXexcBad8 2" xfId="670"/>
    <cellStyle name="SAPBEXexcBad9" xfId="671"/>
    <cellStyle name="SAPBEXexcBad9 2" xfId="672"/>
    <cellStyle name="SAPBEXexcCritical4" xfId="673"/>
    <cellStyle name="SAPBEXexcCritical4 2" xfId="674"/>
    <cellStyle name="SAPBEXexcCritical5" xfId="675"/>
    <cellStyle name="SAPBEXexcCritical5 2" xfId="676"/>
    <cellStyle name="SAPBEXexcCritical6" xfId="677"/>
    <cellStyle name="SAPBEXexcCritical6 2" xfId="678"/>
    <cellStyle name="SAPBEXexcGood1" xfId="679"/>
    <cellStyle name="SAPBEXexcGood1 2" xfId="680"/>
    <cellStyle name="SAPBEXexcGood2" xfId="681"/>
    <cellStyle name="SAPBEXexcGood2 2" xfId="682"/>
    <cellStyle name="SAPBEXexcGood3" xfId="683"/>
    <cellStyle name="SAPBEXexcGood3 2" xfId="684"/>
    <cellStyle name="SAPBEXfilterDrill" xfId="685"/>
    <cellStyle name="SAPBEXfilterDrill 2" xfId="686"/>
    <cellStyle name="SAPBEXfilterItem" xfId="687"/>
    <cellStyle name="SAPBEXfilterText" xfId="688"/>
    <cellStyle name="SAPBEXformats" xfId="689"/>
    <cellStyle name="SAPBEXformats 2" xfId="690"/>
    <cellStyle name="SAPBEXheaderItem" xfId="691"/>
    <cellStyle name="SAPBEXheaderItem 2" xfId="692"/>
    <cellStyle name="SAPBEXheaderText" xfId="693"/>
    <cellStyle name="SAPBEXheaderText 2" xfId="694"/>
    <cellStyle name="SAPBEXHLevel0" xfId="695"/>
    <cellStyle name="SAPBEXHLevel0 2" xfId="696"/>
    <cellStyle name="SAPBEXHLevel0X" xfId="697"/>
    <cellStyle name="SAPBEXHLevel1" xfId="698"/>
    <cellStyle name="SAPBEXHLevel1 2" xfId="699"/>
    <cellStyle name="SAPBEXHLevel1X" xfId="700"/>
    <cellStyle name="SAPBEXHLevel2" xfId="701"/>
    <cellStyle name="SAPBEXHLevel2 2" xfId="702"/>
    <cellStyle name="SAPBEXHLevel2X" xfId="703"/>
    <cellStyle name="SAPBEXHLevel3" xfId="704"/>
    <cellStyle name="SAPBEXHLevel3 2" xfId="705"/>
    <cellStyle name="SAPBEXHLevel3X" xfId="706"/>
    <cellStyle name="SAPBEXinputData" xfId="707"/>
    <cellStyle name="SAPBEXItemHeader" xfId="708"/>
    <cellStyle name="SAPBEXresData" xfId="709"/>
    <cellStyle name="SAPBEXresDataEmph" xfId="710"/>
    <cellStyle name="SAPBEXresItem" xfId="711"/>
    <cellStyle name="SAPBEXresItemX" xfId="712"/>
    <cellStyle name="SAPBEXstdData" xfId="713"/>
    <cellStyle name="SAPBEXstdData 2" xfId="714"/>
    <cellStyle name="SAPBEXstdDataEmph" xfId="715"/>
    <cellStyle name="SAPBEXstdItem" xfId="716"/>
    <cellStyle name="SAPBEXstdItem 2" xfId="717"/>
    <cellStyle name="SAPBEXstdItemX" xfId="718"/>
    <cellStyle name="SAPBEXtitle" xfId="719"/>
    <cellStyle name="SAPBEXunassignedItem" xfId="720"/>
    <cellStyle name="SAPBEXunassignedItem 2" xfId="721"/>
    <cellStyle name="SAPBEXundefined" xfId="722"/>
    <cellStyle name="Sheet Title" xfId="723"/>
    <cellStyle name="Style 1" xfId="724"/>
    <cellStyle name="Total 2" xfId="725"/>
    <cellStyle name="Warning Text 2" xfId="726"/>
  </cellStyles>
  <dxfs count="0"/>
  <tableStyles count="0" defaultTableStyle="TableStyleMedium2" defaultPivotStyle="PivotStyleLight16"/>
  <colors>
    <mruColors>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Physical Security, Ordered Mitigations</a:t>
            </a:r>
          </a:p>
        </c:rich>
      </c:tx>
      <c:layout/>
      <c:overlay val="0"/>
      <c:spPr>
        <a:noFill/>
        <a:ln>
          <a:noFill/>
        </a:ln>
        <a:effectLst/>
      </c:spPr>
    </c:title>
    <c:autoTitleDeleted val="0"/>
    <c:plotArea>
      <c:layout/>
      <c:barChart>
        <c:barDir val="col"/>
        <c:grouping val="clustered"/>
        <c:varyColors val="0"/>
        <c:ser>
          <c:idx val="0"/>
          <c:order val="0"/>
          <c:spPr>
            <a:gradFill>
              <a:gsLst>
                <a:gs pos="0">
                  <a:schemeClr val="accent6"/>
                </a:gs>
                <a:gs pos="100000">
                  <a:schemeClr val="accent6">
                    <a:lumMod val="84000"/>
                  </a:schemeClr>
                </a:gs>
              </a:gsLst>
              <a:lin ang="5400000" scaled="1"/>
            </a:gradFill>
            <a:ln>
              <a:noFill/>
            </a:ln>
            <a:effectLst>
              <a:outerShdw blurRad="76200" dir="18900000" sy="23000" kx="-1200000" algn="bl" rotWithShape="0">
                <a:prstClr val="black">
                  <a:alpha val="20000"/>
                </a:prstClr>
              </a:outerShdw>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multiLvlStrRef>
              <c:f>Analysis!$AO$14:$AP$16</c:f>
              <c:multiLvlStrCache>
                <c:ptCount val="3"/>
                <c:lvl>
                  <c:pt idx="0">
                    <c:v>(Phys Sec) Baseline Physical Security</c:v>
                  </c:pt>
                  <c:pt idx="1">
                    <c:v>(Phys Sec) Proposed Resilliency Operations</c:v>
                  </c:pt>
                  <c:pt idx="2">
                    <c:v>(Phys Sec) Proposed Additional Security Resources</c:v>
                  </c:pt>
                </c:lvl>
                <c:lvl>
                  <c:pt idx="0">
                    <c:v>B1</c:v>
                  </c:pt>
                  <c:pt idx="1">
                    <c:v>P2</c:v>
                  </c:pt>
                  <c:pt idx="2">
                    <c:v>P1</c:v>
                  </c:pt>
                </c:lvl>
              </c:multiLvlStrCache>
            </c:multiLvlStrRef>
          </c:cat>
          <c:val>
            <c:numRef>
              <c:f>Analysis!$AN$14:$AN$16</c:f>
              <c:numCache>
                <c:formatCode>General</c:formatCode>
                <c:ptCount val="3"/>
                <c:pt idx="0">
                  <c:v>14.132760878042305</c:v>
                </c:pt>
                <c:pt idx="1">
                  <c:v>2.3009332728103868</c:v>
                </c:pt>
                <c:pt idx="2">
                  <c:v>1.6801283471012194</c:v>
                </c:pt>
              </c:numCache>
            </c:numRef>
          </c:val>
          <c:extLst xmlns:c16r2="http://schemas.microsoft.com/office/drawing/2015/06/chart">
            <c:ext xmlns:c16="http://schemas.microsoft.com/office/drawing/2014/chart" uri="{C3380CC4-5D6E-409C-BE32-E72D297353CC}">
              <c16:uniqueId val="{00000000-92D7-4F50-B069-06C53F4FBE1B}"/>
            </c:ext>
          </c:extLst>
        </c:ser>
        <c:dLbls>
          <c:dLblPos val="inEnd"/>
          <c:showLegendKey val="0"/>
          <c:showVal val="1"/>
          <c:showCatName val="0"/>
          <c:showSerName val="0"/>
          <c:showPercent val="0"/>
          <c:showBubbleSize val="0"/>
        </c:dLbls>
        <c:gapWidth val="41"/>
        <c:axId val="220965120"/>
        <c:axId val="122851328"/>
      </c:barChart>
      <c:catAx>
        <c:axId val="220965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122851328"/>
        <c:crosses val="autoZero"/>
        <c:auto val="1"/>
        <c:lblAlgn val="ctr"/>
        <c:lblOffset val="100"/>
        <c:noMultiLvlLbl val="0"/>
      </c:catAx>
      <c:valAx>
        <c:axId val="122851328"/>
        <c:scaling>
          <c:orientation val="minMax"/>
        </c:scaling>
        <c:delete val="1"/>
        <c:axPos val="l"/>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Risk Spend Efficiency</a:t>
                </a:r>
              </a:p>
            </c:rich>
          </c:tx>
          <c:layout/>
          <c:overlay val="0"/>
          <c:spPr>
            <a:noFill/>
            <a:ln>
              <a:noFill/>
            </a:ln>
            <a:effectLst/>
          </c:spPr>
        </c:title>
        <c:numFmt formatCode="General" sourceLinked="1"/>
        <c:majorTickMark val="out"/>
        <c:minorTickMark val="none"/>
        <c:tickLblPos val="nextTo"/>
        <c:crossAx val="220965120"/>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2206625</xdr:colOff>
      <xdr:row>14</xdr:row>
      <xdr:rowOff>142875</xdr:rowOff>
    </xdr:from>
    <xdr:to>
      <xdr:col>0</xdr:col>
      <xdr:colOff>3797819</xdr:colOff>
      <xdr:row>20</xdr:row>
      <xdr:rowOff>164312</xdr:rowOff>
    </xdr:to>
    <xdr:pic>
      <xdr:nvPicPr>
        <xdr:cNvPr id="2" name="Picture 1"/>
        <xdr:cNvPicPr>
          <a:picLocks noChangeAspect="1"/>
        </xdr:cNvPicPr>
      </xdr:nvPicPr>
      <xdr:blipFill>
        <a:blip xmlns:r="http://schemas.openxmlformats.org/officeDocument/2006/relationships" r:embed="rId1"/>
        <a:stretch>
          <a:fillRect/>
        </a:stretch>
      </xdr:blipFill>
      <xdr:spPr>
        <a:xfrm>
          <a:off x="2206625" y="4781550"/>
          <a:ext cx="1591194" cy="1164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36</xdr:col>
      <xdr:colOff>291353</xdr:colOff>
      <xdr:row>16</xdr:row>
      <xdr:rowOff>67235</xdr:rowOff>
    </xdr:from>
    <xdr:to>
      <xdr:col>41</xdr:col>
      <xdr:colOff>586628</xdr:colOff>
      <xdr:row>27</xdr:row>
      <xdr:rowOff>143435</xdr:rowOff>
    </xdr:to>
    <xdr:graphicFrame macro="">
      <xdr:nvGraphicFramePr>
        <xdr:cNvPr id="5" name="Chart 4">
          <a:extLst>
            <a:ext uri="{FF2B5EF4-FFF2-40B4-BE49-F238E27FC236}">
              <a16:creationId xmlns:a16="http://schemas.microsoft.com/office/drawing/2014/main" xmlns=""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aviescon.sharepoint.com/33-11%20-%20Documents/04%20Draft%20Project%20Analysis/Gas/25G%20SCG%20-%20Physical%20Security%20of%20Critical%20Infrastructure/Analysis/SCG%20COSTS%20-%20PHYSICAL%20SECURITY2016-10-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6">
          <cell r="D16">
            <v>2624.631115000001</v>
          </cell>
          <cell r="E16">
            <v>5032.8564343750004</v>
          </cell>
        </row>
        <row r="17">
          <cell r="D17">
            <v>1720</v>
          </cell>
          <cell r="E17">
            <v>7571.2082936250008</v>
          </cell>
        </row>
        <row r="19">
          <cell r="E19">
            <v>15000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76" customWidth="1"/>
  </cols>
  <sheetData>
    <row r="1" spans="1:1" ht="34.5" x14ac:dyDescent="0.25">
      <c r="A1" s="70"/>
    </row>
    <row r="2" spans="1:1" ht="34.5" x14ac:dyDescent="0.25">
      <c r="A2" s="70"/>
    </row>
    <row r="3" spans="1:1" ht="34.5" x14ac:dyDescent="0.25">
      <c r="A3" s="71" t="s">
        <v>105</v>
      </c>
    </row>
    <row r="4" spans="1:1" ht="6" customHeight="1" x14ac:dyDescent="0.25">
      <c r="A4" s="71"/>
    </row>
    <row r="5" spans="1:1" ht="34.5" x14ac:dyDescent="0.25">
      <c r="A5" s="72" t="s">
        <v>106</v>
      </c>
    </row>
    <row r="6" spans="1:1" ht="6" customHeight="1" x14ac:dyDescent="0.25">
      <c r="A6" s="71"/>
    </row>
    <row r="7" spans="1:1" ht="34.5" x14ac:dyDescent="0.25">
      <c r="A7" s="71" t="s">
        <v>107</v>
      </c>
    </row>
    <row r="8" spans="1:1" ht="6" customHeight="1" x14ac:dyDescent="0.25">
      <c r="A8" s="71"/>
    </row>
    <row r="9" spans="1:1" ht="69" x14ac:dyDescent="0.25">
      <c r="A9" s="73" t="s">
        <v>109</v>
      </c>
    </row>
    <row r="10" spans="1:1" ht="6" customHeight="1" x14ac:dyDescent="0.25">
      <c r="A10" s="71"/>
    </row>
    <row r="11" spans="1:1" ht="34.5" x14ac:dyDescent="0.25">
      <c r="A11" s="71" t="s">
        <v>110</v>
      </c>
    </row>
    <row r="12" spans="1:1" ht="31.5" customHeight="1" x14ac:dyDescent="0.25">
      <c r="A12" s="74"/>
    </row>
    <row r="13" spans="1:1" ht="18.75" x14ac:dyDescent="0.25">
      <c r="A13" s="75" t="s">
        <v>108</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Q30"/>
  <sheetViews>
    <sheetView zoomScale="85" zoomScaleNormal="85" workbookViewId="0"/>
  </sheetViews>
  <sheetFormatPr defaultRowHeight="15" x14ac:dyDescent="0.25"/>
  <cols>
    <col min="1" max="1" width="5.7109375" style="16" customWidth="1"/>
    <col min="2" max="2" width="13.85546875" style="16" bestFit="1" customWidth="1"/>
    <col min="3" max="3" width="28.28515625" style="16" customWidth="1"/>
    <col min="4" max="4" width="11.7109375" style="16" bestFit="1" customWidth="1"/>
    <col min="5" max="5" width="23" style="16" bestFit="1" customWidth="1"/>
    <col min="6" max="6" width="10.85546875" style="16" bestFit="1" customWidth="1"/>
    <col min="7" max="7" width="9.28515625" style="16" bestFit="1" customWidth="1"/>
    <col min="8" max="8" width="39.140625" style="16" customWidth="1"/>
    <col min="9" max="9" width="42.28515625" style="16" customWidth="1"/>
    <col min="10" max="10" width="14.85546875" style="16" customWidth="1"/>
    <col min="11" max="11" width="11.5703125" style="16" bestFit="1" customWidth="1"/>
    <col min="12" max="12" width="11.5703125" style="16" hidden="1" customWidth="1"/>
    <col min="13" max="14" width="12.85546875" style="16" bestFit="1" customWidth="1"/>
    <col min="15" max="15" width="41" style="18" customWidth="1"/>
    <col min="16" max="16" width="10.28515625" style="16" customWidth="1"/>
    <col min="17" max="17" width="12.85546875" style="19" bestFit="1" customWidth="1"/>
    <col min="18" max="18" width="9.7109375" style="16" hidden="1" customWidth="1"/>
    <col min="19" max="19" width="6.5703125" style="16" hidden="1" customWidth="1"/>
    <col min="20" max="20" width="10" style="16" hidden="1" customWidth="1"/>
    <col min="21" max="21" width="11.42578125" style="16" hidden="1" customWidth="1"/>
    <col min="22" max="22" width="8.85546875" style="16" hidden="1" customWidth="1"/>
    <col min="23" max="23" width="11.28515625" style="16" hidden="1" customWidth="1"/>
    <col min="24" max="24" width="13.7109375" style="16" hidden="1" customWidth="1"/>
    <col min="25" max="25" width="11.42578125" style="16" hidden="1" customWidth="1"/>
    <col min="26" max="26" width="9.7109375" style="16" customWidth="1"/>
    <col min="27" max="27" width="11.28515625" style="16" customWidth="1"/>
    <col min="28" max="28" width="11.28515625" style="16" hidden="1" customWidth="1"/>
    <col min="29" max="29" width="13.7109375" style="16" customWidth="1"/>
    <col min="30" max="30" width="15.140625" style="16" bestFit="1" customWidth="1"/>
    <col min="31" max="31" width="14.28515625" style="20" customWidth="1"/>
    <col min="32" max="32" width="8.28515625" style="16" bestFit="1" customWidth="1"/>
    <col min="33" max="33" width="6" style="16" bestFit="1" customWidth="1"/>
    <col min="34" max="37" width="4.7109375" style="16" customWidth="1"/>
    <col min="38" max="38" width="14.28515625" style="16" customWidth="1"/>
    <col min="39" max="39" width="15.140625" style="16" customWidth="1"/>
    <col min="40" max="40" width="15.5703125" style="16" customWidth="1"/>
    <col min="41" max="41" width="14.42578125" style="16" customWidth="1"/>
    <col min="42" max="42" width="33.28515625" style="16" bestFit="1" customWidth="1"/>
    <col min="43" max="43" width="17.7109375" style="16" bestFit="1" customWidth="1"/>
    <col min="44" max="44" width="42.28515625" style="16" bestFit="1" customWidth="1"/>
    <col min="45" max="45" width="23.42578125" style="16" bestFit="1" customWidth="1"/>
    <col min="46" max="46" width="31.140625" style="16" bestFit="1" customWidth="1"/>
    <col min="47" max="47" width="47.140625" style="16" bestFit="1" customWidth="1"/>
    <col min="48" max="48" width="12" style="16" bestFit="1" customWidth="1"/>
    <col min="49" max="16384" width="9.140625" style="16"/>
  </cols>
  <sheetData>
    <row r="1" spans="1:42" ht="21.75" thickBot="1" x14ac:dyDescent="0.4">
      <c r="B1" s="17" t="s">
        <v>0</v>
      </c>
      <c r="C1" s="56" t="s">
        <v>1</v>
      </c>
      <c r="D1" s="57"/>
      <c r="E1" s="57"/>
      <c r="F1" s="57"/>
      <c r="G1" s="57"/>
      <c r="H1" s="58"/>
    </row>
    <row r="3" spans="1:42" ht="21" x14ac:dyDescent="0.35">
      <c r="B3" s="59" t="s">
        <v>2</v>
      </c>
      <c r="C3" s="59"/>
      <c r="D3" s="59"/>
      <c r="E3" s="59"/>
    </row>
    <row r="4" spans="1:42" ht="37.5" x14ac:dyDescent="0.3">
      <c r="B4" s="21" t="s">
        <v>93</v>
      </c>
      <c r="C4" s="22" t="s">
        <v>3</v>
      </c>
      <c r="D4" s="23" t="s">
        <v>4</v>
      </c>
      <c r="E4" s="24" t="s">
        <v>5</v>
      </c>
    </row>
    <row r="5" spans="1:42" x14ac:dyDescent="0.25">
      <c r="A5" s="60"/>
      <c r="B5" s="61">
        <v>1</v>
      </c>
      <c r="C5" s="25" t="s">
        <v>6</v>
      </c>
      <c r="D5" s="26">
        <f>INDEX(Reference!$C:$G,MATCH($C$1,Reference!$B:$B,0),ROW()-ROW($B$4))</f>
        <v>5.7735026918962602E-2</v>
      </c>
      <c r="E5" s="64">
        <f>D5*(0.4*10^D6+0.2*10^D7+0.2*10^D8+0.2*10^D9)</f>
        <v>14087.346568226874</v>
      </c>
      <c r="J5" s="27"/>
    </row>
    <row r="6" spans="1:42" x14ac:dyDescent="0.25">
      <c r="A6" s="60"/>
      <c r="B6" s="62"/>
      <c r="C6" s="25" t="s">
        <v>7</v>
      </c>
      <c r="D6" s="28">
        <f>INDEX(Reference!$C:$G,MATCH($C$1,Reference!$B:$B,0),ROW()-ROW($B$4))</f>
        <v>5</v>
      </c>
      <c r="E6" s="65"/>
    </row>
    <row r="7" spans="1:42" x14ac:dyDescent="0.25">
      <c r="A7" s="60"/>
      <c r="B7" s="62"/>
      <c r="C7" s="25" t="s">
        <v>8</v>
      </c>
      <c r="D7" s="28">
        <f>INDEX(Reference!$C:$G,MATCH($C$1,Reference!$B:$B,0),ROW()-ROW($B$4))</f>
        <v>6</v>
      </c>
      <c r="E7" s="65"/>
    </row>
    <row r="8" spans="1:42" x14ac:dyDescent="0.25">
      <c r="A8" s="60"/>
      <c r="B8" s="62"/>
      <c r="C8" s="25" t="s">
        <v>9</v>
      </c>
      <c r="D8" s="28">
        <f>INDEX(Reference!$C:$G,MATCH($C$1,Reference!$B:$B,0),ROW()-ROW($B$4))</f>
        <v>4</v>
      </c>
      <c r="E8" s="65"/>
    </row>
    <row r="9" spans="1:42" x14ac:dyDescent="0.25">
      <c r="A9" s="60"/>
      <c r="B9" s="63"/>
      <c r="C9" s="25" t="s">
        <v>10</v>
      </c>
      <c r="D9" s="28">
        <f>INDEX(Reference!$C:$G,MATCH($C$1,Reference!$B:$B,0),ROW()-ROW($B$4))</f>
        <v>4</v>
      </c>
      <c r="E9" s="66"/>
    </row>
    <row r="10" spans="1:42" x14ac:dyDescent="0.25">
      <c r="AD10" s="20"/>
      <c r="AE10" s="16"/>
    </row>
    <row r="11" spans="1:42" x14ac:dyDescent="0.25">
      <c r="P11" s="16" t="s">
        <v>11</v>
      </c>
      <c r="Q11" s="19">
        <f>D5</f>
        <v>5.7735026918962602E-2</v>
      </c>
      <c r="R11" s="16">
        <f>D6</f>
        <v>5</v>
      </c>
      <c r="S11" s="16">
        <f>D7</f>
        <v>6</v>
      </c>
      <c r="T11" s="16">
        <f>D8</f>
        <v>4</v>
      </c>
      <c r="U11" s="16">
        <f>D9</f>
        <v>4</v>
      </c>
      <c r="V11" s="29"/>
      <c r="AD11" s="20"/>
      <c r="AE11" s="16"/>
    </row>
    <row r="12" spans="1:42" x14ac:dyDescent="0.25">
      <c r="G12" s="30"/>
      <c r="H12" s="30"/>
      <c r="I12" s="30"/>
      <c r="J12" s="68" t="s">
        <v>12</v>
      </c>
      <c r="K12" s="68"/>
      <c r="L12" s="31"/>
      <c r="M12" s="30"/>
      <c r="N12" s="30"/>
      <c r="O12" s="32"/>
      <c r="P12" s="30"/>
      <c r="Q12" s="33"/>
      <c r="R12" s="34">
        <v>0.4</v>
      </c>
      <c r="S12" s="34">
        <v>0.2</v>
      </c>
      <c r="T12" s="34">
        <v>0.2</v>
      </c>
      <c r="U12" s="34">
        <v>0.2</v>
      </c>
      <c r="V12" s="67" t="s">
        <v>13</v>
      </c>
      <c r="W12" s="67"/>
      <c r="X12" s="67"/>
      <c r="Y12" s="67"/>
      <c r="Z12" s="30"/>
      <c r="AA12" s="30"/>
      <c r="AB12" s="30"/>
      <c r="AC12" s="30"/>
      <c r="AD12" s="35"/>
      <c r="AE12" s="30"/>
      <c r="AF12" s="30"/>
      <c r="AG12" s="30"/>
      <c r="AH12" s="30"/>
      <c r="AI12" s="30"/>
      <c r="AJ12" s="30" t="s">
        <v>14</v>
      </c>
      <c r="AK12" s="30" t="s">
        <v>15</v>
      </c>
      <c r="AL12" s="16" t="s">
        <v>16</v>
      </c>
      <c r="AM12" s="16" t="s">
        <v>17</v>
      </c>
    </row>
    <row r="13" spans="1:42" s="18" customFormat="1" ht="45" x14ac:dyDescent="0.25">
      <c r="C13" s="24" t="s">
        <v>94</v>
      </c>
      <c r="D13" s="8" t="s">
        <v>18</v>
      </c>
      <c r="G13" s="24" t="s">
        <v>19</v>
      </c>
      <c r="H13" s="24" t="s">
        <v>20</v>
      </c>
      <c r="I13" s="24" t="s">
        <v>39</v>
      </c>
      <c r="J13" s="8" t="s">
        <v>99</v>
      </c>
      <c r="K13" s="8" t="s">
        <v>100</v>
      </c>
      <c r="L13" s="8" t="s">
        <v>21</v>
      </c>
      <c r="M13" s="24" t="s">
        <v>22</v>
      </c>
      <c r="N13" s="8" t="s">
        <v>23</v>
      </c>
      <c r="O13" s="8" t="s">
        <v>101</v>
      </c>
      <c r="P13" s="24" t="s">
        <v>102</v>
      </c>
      <c r="Q13" s="24" t="s">
        <v>24</v>
      </c>
      <c r="R13" s="24" t="s">
        <v>25</v>
      </c>
      <c r="S13" s="24" t="s">
        <v>26</v>
      </c>
      <c r="T13" s="24" t="s">
        <v>27</v>
      </c>
      <c r="U13" s="24" t="s">
        <v>28</v>
      </c>
      <c r="V13" s="24" t="s">
        <v>25</v>
      </c>
      <c r="W13" s="24" t="s">
        <v>26</v>
      </c>
      <c r="X13" s="24" t="s">
        <v>27</v>
      </c>
      <c r="Y13" s="24" t="s">
        <v>28</v>
      </c>
      <c r="Z13" s="24" t="s">
        <v>29</v>
      </c>
      <c r="AA13" s="24" t="s">
        <v>96</v>
      </c>
      <c r="AB13" s="24" t="s">
        <v>30</v>
      </c>
      <c r="AC13" s="24" t="str">
        <f>IF(D17=1,"Calibrated, ","")&amp;"Weighted New Score"</f>
        <v>Weighted New Score</v>
      </c>
      <c r="AD13" s="36" t="s">
        <v>97</v>
      </c>
      <c r="AE13" s="24" t="s">
        <v>98</v>
      </c>
      <c r="AF13" s="24" t="s">
        <v>31</v>
      </c>
      <c r="AG13" s="24"/>
      <c r="AH13" s="24"/>
      <c r="AI13" s="24"/>
      <c r="AJ13" s="37"/>
      <c r="AK13" s="18">
        <v>0</v>
      </c>
      <c r="AL13" s="18">
        <v>0</v>
      </c>
    </row>
    <row r="14" spans="1:42" ht="150" x14ac:dyDescent="0.25">
      <c r="C14" s="38" t="s">
        <v>95</v>
      </c>
      <c r="D14" s="38">
        <v>0</v>
      </c>
      <c r="F14" s="39">
        <v>42662</v>
      </c>
      <c r="G14" s="38" t="s">
        <v>47</v>
      </c>
      <c r="H14" s="40" t="s">
        <v>90</v>
      </c>
      <c r="I14" s="40" t="s">
        <v>48</v>
      </c>
      <c r="J14" s="15">
        <f>-[1]Sheet1!$E$16</f>
        <v>-5032.8564343750004</v>
      </c>
      <c r="K14" s="15">
        <f>-[1]Sheet1!$D$16</f>
        <v>-2624.631115000001</v>
      </c>
      <c r="L14" s="15">
        <f>(0.08*J14)/(1-(1+0.08)^-N14)</f>
        <v>-551.74918971515137</v>
      </c>
      <c r="M14" s="38" t="s">
        <v>32</v>
      </c>
      <c r="N14" s="38">
        <v>17</v>
      </c>
      <c r="O14" s="41" t="s">
        <v>104</v>
      </c>
      <c r="P14" s="42">
        <f>(1545-6072)/1545*100</f>
        <v>-293.00970873786406</v>
      </c>
      <c r="Q14" s="43">
        <f>$D$5*(1-($P14/100))</f>
        <v>0.22690426113394235</v>
      </c>
      <c r="R14" s="38">
        <v>0</v>
      </c>
      <c r="S14" s="28">
        <v>0</v>
      </c>
      <c r="T14" s="28">
        <v>0</v>
      </c>
      <c r="U14" s="28">
        <v>0</v>
      </c>
      <c r="V14" s="44">
        <f t="shared" ref="V14:Y14" si="0">(R$12)* ((10^R$11)*(1-(R14/100)))</f>
        <v>40000</v>
      </c>
      <c r="W14" s="44">
        <f t="shared" si="0"/>
        <v>200000</v>
      </c>
      <c r="X14" s="44">
        <f t="shared" si="0"/>
        <v>2000</v>
      </c>
      <c r="Y14" s="44">
        <f t="shared" si="0"/>
        <v>2000</v>
      </c>
      <c r="Z14" s="45">
        <f>Q14*SUM(V14:Y14)</f>
        <v>55364.639716681937</v>
      </c>
      <c r="AA14" s="45">
        <f>($E$5-Z14)*N14</f>
        <v>-701713.98352373613</v>
      </c>
      <c r="AB14" s="46"/>
      <c r="AC14" s="47">
        <f>IF($D$15=1,AA14*AB14*IF($D$17=1,$B$5,1),AA14*IF($D$17=1,$B$5,1))</f>
        <v>-701713.98352373613</v>
      </c>
      <c r="AD14" s="48">
        <f>J14+K14*N14</f>
        <v>-49651.585389375017</v>
      </c>
      <c r="AE14" s="49">
        <f>AC14/AD14</f>
        <v>14.132760878042305</v>
      </c>
      <c r="AF14" s="50">
        <f>RANK(AE14,$AE$14:$AE$16)</f>
        <v>1</v>
      </c>
      <c r="AG14" s="51"/>
      <c r="AH14" s="38"/>
      <c r="AI14" s="38"/>
      <c r="AJ14" s="52">
        <v>1</v>
      </c>
      <c r="AK14" s="52" t="str">
        <f>INDEX($G$14:$G$16,MATCH(ROW()-ROW($AK$13),$AF$14:$AF$16,0))</f>
        <v>B1</v>
      </c>
      <c r="AL14" s="53">
        <f>ABS(INDEX(AC:AC,MATCH(AK14,G:G,0)))+AL13</f>
        <v>701713.98352373613</v>
      </c>
      <c r="AM14" s="53">
        <f>ABS(INDEX(AD:AD,MATCH(AK14,G:G,0)))+AL13</f>
        <v>49651.585389375017</v>
      </c>
      <c r="AN14" s="16">
        <f>INDEX($AE$14:$AE$16,MATCH(AK14,$G$14:$G$16,0))</f>
        <v>14.132760878042305</v>
      </c>
      <c r="AO14" s="16" t="str">
        <f>AK14</f>
        <v>B1</v>
      </c>
      <c r="AP14" s="16" t="str">
        <f>INDEX(H:H,MATCH(AK14,G:G,0))</f>
        <v>(Phys Sec) Baseline Physical Security</v>
      </c>
    </row>
    <row r="15" spans="1:42" ht="135" x14ac:dyDescent="0.25">
      <c r="C15" s="38" t="s">
        <v>36</v>
      </c>
      <c r="D15" s="38">
        <v>0</v>
      </c>
      <c r="F15" s="39">
        <v>42662</v>
      </c>
      <c r="G15" s="38" t="s">
        <v>49</v>
      </c>
      <c r="H15" s="38" t="s">
        <v>91</v>
      </c>
      <c r="I15" s="40" t="s">
        <v>50</v>
      </c>
      <c r="J15" s="15">
        <f>[1]Sheet1!$E$17</f>
        <v>7571.2082936250008</v>
      </c>
      <c r="K15" s="15">
        <f>[1]Sheet1!$D$17</f>
        <v>1720</v>
      </c>
      <c r="L15" s="15"/>
      <c r="M15" s="38" t="s">
        <v>35</v>
      </c>
      <c r="N15" s="38">
        <v>17</v>
      </c>
      <c r="O15" s="41" t="s">
        <v>103</v>
      </c>
      <c r="P15" s="42">
        <f>(1545-1146)/1545*100</f>
        <v>25.825242718446599</v>
      </c>
      <c r="Q15" s="43">
        <f>$D$5*(1-($P15/100))</f>
        <v>4.2824816083580033E-2</v>
      </c>
      <c r="R15" s="38">
        <v>0</v>
      </c>
      <c r="S15" s="28">
        <v>0</v>
      </c>
      <c r="T15" s="28">
        <v>0</v>
      </c>
      <c r="U15" s="28">
        <v>0</v>
      </c>
      <c r="V15" s="44">
        <f t="shared" ref="V15" si="1">(R$12)* ((10^R$11)*(1-(R15/100)))</f>
        <v>40000</v>
      </c>
      <c r="W15" s="44">
        <f t="shared" ref="W15" si="2">(S$12)* ((10^S$11)*(1-(S15/100)))</f>
        <v>200000</v>
      </c>
      <c r="X15" s="44">
        <f t="shared" ref="X15" si="3">(T$12)* ((10^T$11)*(1-(T15/100)))</f>
        <v>2000</v>
      </c>
      <c r="Y15" s="44">
        <f t="shared" ref="Y15" si="4">(U$12)* ((10^U$11)*(1-(U15/100)))</f>
        <v>2000</v>
      </c>
      <c r="Z15" s="45">
        <f>Q15*SUM(V15:Y15)</f>
        <v>10449.255124393529</v>
      </c>
      <c r="AA15" s="45">
        <f>($E$5-Z15)*N15</f>
        <v>61847.554545166873</v>
      </c>
      <c r="AB15" s="46"/>
      <c r="AC15" s="47">
        <f>IF($D$15=1,AA15*AB15*IF($D$17=1,$B$5,1),AA15*IF($D$17=1,$B$5,1))</f>
        <v>61847.554545166873</v>
      </c>
      <c r="AD15" s="48">
        <f>J15+K15*N15</f>
        <v>36811.208293625001</v>
      </c>
      <c r="AE15" s="49">
        <f>AC15/AD15</f>
        <v>1.6801283471012194</v>
      </c>
      <c r="AF15" s="50">
        <f>RANK(AE15,$AE$14:$AE$16)</f>
        <v>3</v>
      </c>
      <c r="AG15" s="51"/>
      <c r="AH15" s="49"/>
      <c r="AI15" s="54"/>
      <c r="AJ15" s="52">
        <v>2</v>
      </c>
      <c r="AK15" s="52" t="str">
        <f>INDEX($G$14:$G$16,MATCH(ROW()-ROW($AK$13),$AF$14:$AF$16,0))</f>
        <v>P2</v>
      </c>
      <c r="AL15" s="53">
        <f>ABS(INDEX(AC:AC,MATCH(AK15,G:G,0)))+AL14</f>
        <v>736227.98261589196</v>
      </c>
      <c r="AM15" s="53">
        <f>ABS(INDEX(AD:AD,MATCH(AK15,G:G,0)))+AL14</f>
        <v>716713.98352373613</v>
      </c>
      <c r="AN15" s="16">
        <f>INDEX($AE$14:$AE$16,MATCH(AK15,$G$14:$G$16,0))</f>
        <v>2.3009332728103868</v>
      </c>
      <c r="AO15" s="16" t="str">
        <f>AK15</f>
        <v>P2</v>
      </c>
      <c r="AP15" s="16" t="str">
        <f>INDEX(H:H,MATCH(AK15,G:G,0))</f>
        <v>(Phys Sec) Proposed Resilliency Operations</v>
      </c>
    </row>
    <row r="16" spans="1:42" ht="45" x14ac:dyDescent="0.25">
      <c r="C16" s="38" t="s">
        <v>37</v>
      </c>
      <c r="D16" s="38">
        <v>0</v>
      </c>
      <c r="G16" s="38" t="s">
        <v>33</v>
      </c>
      <c r="H16" s="38" t="s">
        <v>92</v>
      </c>
      <c r="I16" s="40" t="s">
        <v>34</v>
      </c>
      <c r="J16" s="15">
        <f>[1]Sheet1!$E$19</f>
        <v>15000</v>
      </c>
      <c r="K16" s="15"/>
      <c r="L16" s="15"/>
      <c r="M16" s="38" t="s">
        <v>35</v>
      </c>
      <c r="N16" s="38">
        <v>49</v>
      </c>
      <c r="O16" s="41" t="s">
        <v>89</v>
      </c>
      <c r="P16" s="42">
        <v>5</v>
      </c>
      <c r="Q16" s="43">
        <f>$D$5*(1-($P16/100))</f>
        <v>5.4848275573014471E-2</v>
      </c>
      <c r="R16" s="38">
        <v>0</v>
      </c>
      <c r="S16" s="28">
        <v>0</v>
      </c>
      <c r="T16" s="28">
        <v>0</v>
      </c>
      <c r="U16" s="28">
        <v>0</v>
      </c>
      <c r="V16" s="44">
        <f t="shared" ref="V16" si="5">(R$12)* ((10^R$11)*(1-(R16/100)))</f>
        <v>40000</v>
      </c>
      <c r="W16" s="44">
        <f t="shared" ref="W16" si="6">(S$12)* ((10^S$11)*(1-(S16/100)))</f>
        <v>200000</v>
      </c>
      <c r="X16" s="44">
        <f t="shared" ref="X16" si="7">(T$12)* ((10^T$11)*(1-(T16/100)))</f>
        <v>2000</v>
      </c>
      <c r="Y16" s="44">
        <f t="shared" ref="Y16" si="8">(U$12)* ((10^U$11)*(1-(U16/100)))</f>
        <v>2000</v>
      </c>
      <c r="Z16" s="45">
        <f>Q16*SUM(V16:Y16)</f>
        <v>13382.979239815531</v>
      </c>
      <c r="AA16" s="45">
        <f>($E$5-Z16)*N16</f>
        <v>34513.999092155806</v>
      </c>
      <c r="AB16" s="46"/>
      <c r="AC16" s="47">
        <f>IF($D$15=1,AA16*AB16*IF($D$17=1,$B$5,1),AA16*IF($D$17=1,$B$5,1))</f>
        <v>34513.999092155806</v>
      </c>
      <c r="AD16" s="48">
        <f>J16+K16*N16</f>
        <v>15000</v>
      </c>
      <c r="AE16" s="49">
        <f>AC16/AD16</f>
        <v>2.3009332728103868</v>
      </c>
      <c r="AF16" s="50">
        <f>RANK(AE16,$AE$14:$AE$16)</f>
        <v>2</v>
      </c>
      <c r="AG16" s="51"/>
      <c r="AH16" s="49"/>
      <c r="AI16" s="54"/>
      <c r="AJ16" s="52">
        <v>3</v>
      </c>
      <c r="AK16" s="52" t="str">
        <f>INDEX($G$14:$G$16,MATCH(ROW()-ROW($AK$13),$AF$14:$AF$16,0))</f>
        <v>P1</v>
      </c>
      <c r="AL16" s="53">
        <f>ABS(INDEX(AC:AC,MATCH(AK16,G:G,0)))+AL15</f>
        <v>798075.53716105886</v>
      </c>
      <c r="AM16" s="53">
        <f>ABS(INDEX(AD:AD,MATCH(AK16,G:G,0)))+AL15</f>
        <v>773039.190909517</v>
      </c>
      <c r="AN16" s="16">
        <f>INDEX($AE$14:$AE$16,MATCH(AK16,$G$14:$G$16,0))</f>
        <v>1.6801283471012194</v>
      </c>
      <c r="AO16" s="16" t="str">
        <f>AK16</f>
        <v>P1</v>
      </c>
      <c r="AP16" s="16" t="str">
        <f>INDEX(H:H,MATCH(AK16,G:G,0))</f>
        <v>(Phys Sec) Proposed Additional Security Resources</v>
      </c>
    </row>
    <row r="17" spans="3:43" x14ac:dyDescent="0.25">
      <c r="C17" s="38" t="s">
        <v>93</v>
      </c>
      <c r="D17" s="38">
        <v>0</v>
      </c>
      <c r="G17" s="38"/>
      <c r="H17" s="38"/>
      <c r="I17" s="40"/>
      <c r="J17" s="15"/>
      <c r="K17" s="15"/>
      <c r="L17" s="15"/>
      <c r="M17" s="38"/>
      <c r="N17" s="38"/>
      <c r="O17" s="41"/>
      <c r="P17" s="42"/>
      <c r="Q17" s="43"/>
      <c r="R17" s="28"/>
      <c r="S17" s="28"/>
      <c r="T17" s="28"/>
      <c r="U17" s="28"/>
      <c r="V17" s="44"/>
      <c r="W17" s="44"/>
      <c r="X17" s="44"/>
      <c r="Y17" s="44"/>
      <c r="Z17" s="45"/>
      <c r="AA17" s="45"/>
      <c r="AB17" s="46"/>
      <c r="AC17" s="47"/>
      <c r="AD17" s="48"/>
      <c r="AE17" s="49"/>
      <c r="AF17" s="50"/>
      <c r="AG17" s="51"/>
      <c r="AH17" s="49"/>
      <c r="AI17" s="54"/>
      <c r="AJ17" s="52"/>
      <c r="AK17" s="52"/>
      <c r="AL17" s="53"/>
      <c r="AM17" s="53"/>
    </row>
    <row r="18" spans="3:43" x14ac:dyDescent="0.25">
      <c r="C18" s="52"/>
      <c r="D18" s="52"/>
      <c r="G18" s="38"/>
      <c r="H18" s="38"/>
      <c r="I18" s="38"/>
      <c r="J18" s="15"/>
      <c r="K18" s="15"/>
      <c r="L18" s="15"/>
      <c r="M18" s="38"/>
      <c r="N18" s="38"/>
      <c r="O18" s="41"/>
      <c r="P18" s="42"/>
      <c r="Q18" s="43"/>
      <c r="R18" s="28"/>
      <c r="S18" s="28"/>
      <c r="T18" s="28"/>
      <c r="U18" s="28"/>
      <c r="V18" s="44"/>
      <c r="W18" s="44"/>
      <c r="X18" s="44"/>
      <c r="Y18" s="44"/>
      <c r="Z18" s="45"/>
      <c r="AA18" s="45"/>
      <c r="AB18" s="46"/>
      <c r="AC18" s="47"/>
      <c r="AD18" s="48"/>
      <c r="AE18" s="49"/>
      <c r="AF18" s="50"/>
      <c r="AG18" s="51"/>
      <c r="AH18" s="49"/>
      <c r="AI18" s="54"/>
      <c r="AJ18" s="52"/>
      <c r="AK18" s="52"/>
      <c r="AL18" s="53"/>
      <c r="AM18" s="53"/>
    </row>
    <row r="19" spans="3:43" x14ac:dyDescent="0.25">
      <c r="C19" s="52"/>
      <c r="G19" s="38"/>
      <c r="H19" s="38"/>
      <c r="I19" s="38"/>
      <c r="J19" s="15"/>
      <c r="K19" s="15"/>
      <c r="L19" s="15"/>
      <c r="M19" s="38"/>
      <c r="N19" s="38"/>
      <c r="O19" s="41"/>
      <c r="P19" s="42"/>
      <c r="Q19" s="43"/>
      <c r="R19" s="28"/>
      <c r="S19" s="28"/>
      <c r="T19" s="28"/>
      <c r="U19" s="28"/>
      <c r="V19" s="44"/>
      <c r="W19" s="44"/>
      <c r="X19" s="44"/>
      <c r="Y19" s="44"/>
      <c r="Z19" s="45"/>
      <c r="AA19" s="45"/>
      <c r="AB19" s="46"/>
      <c r="AC19" s="47"/>
      <c r="AD19" s="48"/>
      <c r="AE19" s="49"/>
      <c r="AF19" s="50"/>
      <c r="AG19" s="51"/>
      <c r="AH19" s="49"/>
      <c r="AI19" s="54"/>
      <c r="AJ19" s="52"/>
      <c r="AK19" s="52"/>
      <c r="AL19" s="53"/>
      <c r="AM19" s="53"/>
    </row>
    <row r="20" spans="3:43" x14ac:dyDescent="0.25">
      <c r="G20" s="38"/>
      <c r="H20" s="38"/>
      <c r="I20" s="38"/>
      <c r="J20" s="15"/>
      <c r="K20" s="15"/>
      <c r="L20" s="15"/>
      <c r="M20" s="38"/>
      <c r="N20" s="38"/>
      <c r="O20" s="41"/>
      <c r="P20" s="42"/>
      <c r="Q20" s="43"/>
      <c r="R20" s="28"/>
      <c r="S20" s="28"/>
      <c r="T20" s="28"/>
      <c r="U20" s="28"/>
      <c r="V20" s="44"/>
      <c r="W20" s="44"/>
      <c r="X20" s="44"/>
      <c r="Y20" s="44"/>
      <c r="Z20" s="45"/>
      <c r="AA20" s="45"/>
      <c r="AB20" s="46"/>
      <c r="AC20" s="47"/>
      <c r="AD20" s="48"/>
      <c r="AE20" s="49"/>
      <c r="AF20" s="49"/>
      <c r="AG20" s="51"/>
      <c r="AH20" s="49"/>
      <c r="AI20" s="54"/>
      <c r="AJ20" s="55"/>
      <c r="AK20" s="55"/>
      <c r="AL20" s="55"/>
    </row>
    <row r="21" spans="3:43" x14ac:dyDescent="0.25">
      <c r="G21" s="38"/>
      <c r="H21" s="38"/>
      <c r="I21" s="38"/>
      <c r="J21" s="15"/>
      <c r="K21" s="15"/>
      <c r="L21" s="15"/>
      <c r="M21" s="38"/>
      <c r="N21" s="38"/>
      <c r="O21" s="41"/>
      <c r="P21" s="42"/>
      <c r="Q21" s="43"/>
      <c r="R21" s="28"/>
      <c r="S21" s="28"/>
      <c r="T21" s="28"/>
      <c r="U21" s="28"/>
      <c r="V21" s="44"/>
      <c r="W21" s="44"/>
      <c r="X21" s="44"/>
      <c r="Y21" s="44"/>
      <c r="Z21" s="45"/>
      <c r="AA21" s="45"/>
      <c r="AB21" s="46"/>
      <c r="AC21" s="47"/>
      <c r="AD21" s="48"/>
      <c r="AE21" s="49"/>
      <c r="AF21" s="49"/>
      <c r="AG21" s="51"/>
      <c r="AH21" s="49"/>
      <c r="AI21" s="54"/>
    </row>
    <row r="22" spans="3:43" x14ac:dyDescent="0.25">
      <c r="C22" s="68" t="s">
        <v>38</v>
      </c>
      <c r="D22" s="68"/>
      <c r="E22" s="23" t="s">
        <v>39</v>
      </c>
      <c r="G22" s="38"/>
      <c r="H22" s="38"/>
      <c r="I22" s="38"/>
      <c r="J22" s="15"/>
      <c r="K22" s="15"/>
      <c r="L22" s="15"/>
      <c r="M22" s="38"/>
      <c r="N22" s="38"/>
      <c r="O22" s="41"/>
      <c r="P22" s="42"/>
      <c r="Q22" s="43"/>
      <c r="R22" s="28"/>
      <c r="S22" s="28"/>
      <c r="T22" s="28"/>
      <c r="U22" s="28"/>
      <c r="V22" s="44"/>
      <c r="W22" s="44"/>
      <c r="X22" s="44"/>
      <c r="Y22" s="44"/>
      <c r="Z22" s="45"/>
      <c r="AA22" s="45"/>
      <c r="AB22" s="46"/>
      <c r="AC22" s="47"/>
      <c r="AD22" s="48"/>
      <c r="AE22" s="49"/>
      <c r="AF22" s="49"/>
      <c r="AG22" s="51"/>
      <c r="AH22" s="49"/>
      <c r="AI22" s="54"/>
      <c r="AJ22" s="52"/>
      <c r="AK22" s="52"/>
      <c r="AL22" s="53"/>
      <c r="AM22" s="53"/>
      <c r="AO22" s="52"/>
      <c r="AP22" s="53"/>
      <c r="AQ22" s="53"/>
    </row>
    <row r="23" spans="3:43" x14ac:dyDescent="0.25">
      <c r="C23" s="12">
        <v>7</v>
      </c>
      <c r="D23" s="40">
        <v>31.6227766016838</v>
      </c>
      <c r="E23" s="38" t="s">
        <v>40</v>
      </c>
      <c r="G23" s="38"/>
      <c r="H23" s="38"/>
      <c r="I23" s="38"/>
      <c r="J23" s="15"/>
      <c r="K23" s="15"/>
      <c r="L23" s="15"/>
      <c r="M23" s="38"/>
      <c r="N23" s="38"/>
      <c r="O23" s="41"/>
      <c r="P23" s="42"/>
      <c r="Q23" s="43"/>
      <c r="R23" s="28"/>
      <c r="S23" s="28"/>
      <c r="T23" s="28"/>
      <c r="U23" s="28"/>
      <c r="V23" s="44"/>
      <c r="W23" s="44"/>
      <c r="X23" s="44"/>
      <c r="Y23" s="44"/>
      <c r="Z23" s="45"/>
      <c r="AA23" s="45"/>
      <c r="AB23" s="46"/>
      <c r="AC23" s="47"/>
      <c r="AD23" s="48"/>
      <c r="AE23" s="49"/>
      <c r="AF23" s="49"/>
      <c r="AG23" s="51"/>
      <c r="AH23" s="49"/>
      <c r="AI23" s="54"/>
      <c r="AJ23" s="52"/>
      <c r="AK23" s="52"/>
      <c r="AL23" s="53"/>
      <c r="AM23" s="53"/>
      <c r="AO23" s="52"/>
      <c r="AP23" s="53"/>
      <c r="AQ23" s="53"/>
    </row>
    <row r="24" spans="3:43" x14ac:dyDescent="0.25">
      <c r="C24" s="12">
        <v>6</v>
      </c>
      <c r="D24" s="40">
        <v>3.16227766016838</v>
      </c>
      <c r="E24" s="38" t="s">
        <v>41</v>
      </c>
      <c r="G24" s="38"/>
      <c r="H24" s="38"/>
      <c r="I24" s="38"/>
      <c r="J24" s="15"/>
      <c r="K24" s="15"/>
      <c r="L24" s="15"/>
      <c r="M24" s="38"/>
      <c r="N24" s="38"/>
      <c r="O24" s="41"/>
      <c r="P24" s="42"/>
      <c r="Q24" s="43"/>
      <c r="R24" s="28"/>
      <c r="S24" s="28"/>
      <c r="T24" s="28"/>
      <c r="U24" s="28"/>
      <c r="V24" s="44"/>
      <c r="W24" s="44"/>
      <c r="X24" s="44"/>
      <c r="Y24" s="44"/>
      <c r="Z24" s="45"/>
      <c r="AA24" s="45"/>
      <c r="AB24" s="46"/>
      <c r="AC24" s="47"/>
      <c r="AD24" s="48"/>
      <c r="AE24" s="49"/>
      <c r="AF24" s="49"/>
      <c r="AG24" s="51"/>
      <c r="AH24" s="49"/>
      <c r="AI24" s="54"/>
      <c r="AJ24" s="52"/>
      <c r="AK24" s="52"/>
      <c r="AL24" s="53"/>
      <c r="AM24" s="53"/>
      <c r="AO24" s="52"/>
      <c r="AP24" s="53"/>
      <c r="AQ24" s="53"/>
    </row>
    <row r="25" spans="3:43" x14ac:dyDescent="0.25">
      <c r="C25" s="12">
        <v>5</v>
      </c>
      <c r="D25" s="40">
        <v>0.57735026918962595</v>
      </c>
      <c r="E25" s="38" t="s">
        <v>42</v>
      </c>
      <c r="G25" s="38"/>
      <c r="H25" s="38"/>
      <c r="I25" s="38"/>
      <c r="J25" s="15"/>
      <c r="K25" s="15"/>
      <c r="L25" s="15"/>
      <c r="M25" s="38"/>
      <c r="N25" s="38"/>
      <c r="O25" s="41"/>
      <c r="P25" s="42"/>
      <c r="Q25" s="43"/>
      <c r="R25" s="28"/>
      <c r="S25" s="28"/>
      <c r="T25" s="28"/>
      <c r="U25" s="28"/>
      <c r="V25" s="44"/>
      <c r="W25" s="44"/>
      <c r="X25" s="44"/>
      <c r="Y25" s="44"/>
      <c r="Z25" s="45"/>
      <c r="AA25" s="45"/>
      <c r="AB25" s="46"/>
      <c r="AC25" s="47"/>
      <c r="AD25" s="48"/>
      <c r="AE25" s="49"/>
      <c r="AF25" s="50"/>
      <c r="AG25" s="51"/>
      <c r="AH25" s="49"/>
      <c r="AI25" s="54"/>
      <c r="AJ25" s="52"/>
      <c r="AK25" s="52"/>
      <c r="AL25" s="53"/>
      <c r="AM25" s="53"/>
      <c r="AO25" s="52"/>
      <c r="AP25" s="53"/>
      <c r="AQ25" s="53"/>
    </row>
    <row r="26" spans="3:43" x14ac:dyDescent="0.25">
      <c r="C26" s="12">
        <v>4</v>
      </c>
      <c r="D26" s="40">
        <v>0.182574185835055</v>
      </c>
      <c r="E26" s="38" t="s">
        <v>43</v>
      </c>
      <c r="AD26" s="20"/>
      <c r="AE26" s="16"/>
    </row>
    <row r="27" spans="3:43" x14ac:dyDescent="0.25">
      <c r="C27" s="12">
        <v>3</v>
      </c>
      <c r="D27" s="40">
        <v>5.7735026918962602E-2</v>
      </c>
      <c r="E27" s="38" t="s">
        <v>44</v>
      </c>
      <c r="AD27" s="20"/>
      <c r="AE27" s="16"/>
    </row>
    <row r="28" spans="3:43" x14ac:dyDescent="0.25">
      <c r="C28" s="12">
        <v>2</v>
      </c>
      <c r="D28" s="40">
        <v>1.8257418583505498E-2</v>
      </c>
      <c r="E28" s="38" t="s">
        <v>45</v>
      </c>
      <c r="AD28" s="20"/>
      <c r="AE28" s="16"/>
    </row>
    <row r="29" spans="3:43" x14ac:dyDescent="0.25">
      <c r="C29" s="12">
        <v>1</v>
      </c>
      <c r="D29" s="40">
        <v>5.7735026918962597E-3</v>
      </c>
      <c r="E29" s="38" t="s">
        <v>46</v>
      </c>
      <c r="AD29" s="20"/>
      <c r="AE29" s="16"/>
    </row>
    <row r="30" spans="3:43" x14ac:dyDescent="0.25">
      <c r="AD30" s="20"/>
      <c r="AE30" s="16"/>
    </row>
  </sheetData>
  <sheetProtection algorithmName="SHA-512" hashValue="4uhtpR5io2X4jOsIDImJHwAv+lr+lQKAoCk9YKqP/NjbMU9kitcH6PcViGSgA/Rbh1qu+2r6TS3VccreqhfKxQ==" saltValue="itO9rXXN2d/iLDF75KgeHg==" spinCount="100000" sheet="1" objects="1" scenarios="1"/>
  <mergeCells count="8">
    <mergeCell ref="V12:Y12"/>
    <mergeCell ref="C22:D22"/>
    <mergeCell ref="J12:K12"/>
    <mergeCell ref="C1:H1"/>
    <mergeCell ref="B3:E3"/>
    <mergeCell ref="A5:A9"/>
    <mergeCell ref="B5:B9"/>
    <mergeCell ref="E5:E9"/>
  </mergeCells>
  <dataValidations count="1">
    <dataValidation type="list" allowBlank="1" showInputMessage="1" showErrorMessage="1" sqref="M14:M25">
      <formula1>"New, Existing"</formula1>
    </dataValidation>
  </dataValidations>
  <pageMargins left="0.7" right="0.7" top="0.75" bottom="0.75" header="0.3" footer="0.3"/>
  <pageSetup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3" width="24.140625" style="3" customWidth="1"/>
    <col min="14" max="14" width="9.140625" style="3"/>
    <col min="15" max="15" width="4.140625" style="3" customWidth="1"/>
    <col min="16" max="16" width="11.5703125" style="3" bestFit="1" customWidth="1"/>
    <col min="17" max="16384" width="9.140625" style="3"/>
  </cols>
  <sheetData>
    <row r="1" spans="1:16" x14ac:dyDescent="0.25">
      <c r="B1" s="9" t="s">
        <v>51</v>
      </c>
      <c r="C1" s="9" t="s">
        <v>52</v>
      </c>
      <c r="D1" s="9" t="s">
        <v>53</v>
      </c>
      <c r="E1" s="9" t="s">
        <v>54</v>
      </c>
      <c r="F1" s="9" t="s">
        <v>55</v>
      </c>
      <c r="G1" s="9" t="s">
        <v>56</v>
      </c>
      <c r="H1" s="9" t="s">
        <v>57</v>
      </c>
      <c r="I1" s="10" t="s">
        <v>58</v>
      </c>
      <c r="K1" s="69" t="s">
        <v>38</v>
      </c>
      <c r="L1" s="69"/>
      <c r="M1" s="11" t="s">
        <v>39</v>
      </c>
      <c r="O1" s="69" t="s">
        <v>59</v>
      </c>
      <c r="P1" s="69"/>
    </row>
    <row r="2" spans="1:16" x14ac:dyDescent="0.25">
      <c r="A2" s="3">
        <v>1</v>
      </c>
      <c r="B2" s="4" t="s">
        <v>60</v>
      </c>
      <c r="C2" s="5">
        <v>0.182574185835055</v>
      </c>
      <c r="D2" s="4">
        <v>4</v>
      </c>
      <c r="E2" s="4">
        <v>6</v>
      </c>
      <c r="F2" s="4">
        <v>5</v>
      </c>
      <c r="G2" s="4">
        <v>5</v>
      </c>
      <c r="H2" s="6">
        <v>44548.101343753427</v>
      </c>
      <c r="I2" s="7">
        <f t="shared" ref="I2:I29" si="0">($K$11*$C2*10^$D2)+($K$12*$C2*10^$E2)+($K$13*$C2*10^$F2)+($K$14*$C2*10^$G2)</f>
        <v>44548.101343753427</v>
      </c>
      <c r="K2" s="12">
        <v>7</v>
      </c>
      <c r="L2" s="13">
        <v>31.6227766016838</v>
      </c>
      <c r="M2" s="1" t="s">
        <v>40</v>
      </c>
      <c r="O2" s="12">
        <v>7</v>
      </c>
      <c r="P2" s="14">
        <f>10^O2</f>
        <v>10000000</v>
      </c>
    </row>
    <row r="3" spans="1:16" x14ac:dyDescent="0.25">
      <c r="A3" s="3" t="s">
        <v>61</v>
      </c>
      <c r="B3" s="4" t="s">
        <v>62</v>
      </c>
      <c r="C3" s="5">
        <v>5.7735026918962602E-2</v>
      </c>
      <c r="D3" s="4">
        <v>4</v>
      </c>
      <c r="E3" s="4">
        <v>5</v>
      </c>
      <c r="F3" s="4">
        <v>4</v>
      </c>
      <c r="G3" s="4">
        <v>5</v>
      </c>
      <c r="H3" s="6">
        <v>2655.8112382722798</v>
      </c>
      <c r="I3" s="7">
        <f t="shared" si="0"/>
        <v>2655.8112382722798</v>
      </c>
      <c r="K3" s="12">
        <v>6</v>
      </c>
      <c r="L3" s="13">
        <v>3.16227766016838</v>
      </c>
      <c r="M3" s="1" t="s">
        <v>41</v>
      </c>
      <c r="O3" s="12">
        <v>6</v>
      </c>
      <c r="P3" s="14">
        <f t="shared" ref="P3:P8" si="1">10^O3</f>
        <v>1000000</v>
      </c>
    </row>
    <row r="4" spans="1:16" x14ac:dyDescent="0.25">
      <c r="A4" s="3">
        <v>3</v>
      </c>
      <c r="B4" s="4" t="s">
        <v>63</v>
      </c>
      <c r="C4" s="5">
        <v>0.57735026918962595</v>
      </c>
      <c r="D4" s="4">
        <v>6</v>
      </c>
      <c r="E4" s="4">
        <v>4</v>
      </c>
      <c r="F4" s="4">
        <v>3</v>
      </c>
      <c r="G4" s="4">
        <v>4</v>
      </c>
      <c r="H4" s="6">
        <v>233364.97880644683</v>
      </c>
      <c r="I4" s="7">
        <f t="shared" si="0"/>
        <v>233364.97880644683</v>
      </c>
      <c r="K4" s="12">
        <v>5</v>
      </c>
      <c r="L4" s="13">
        <v>0.57735026918962595</v>
      </c>
      <c r="M4" s="1" t="s">
        <v>42</v>
      </c>
      <c r="O4" s="12">
        <v>5</v>
      </c>
      <c r="P4" s="14">
        <f t="shared" si="1"/>
        <v>100000</v>
      </c>
    </row>
    <row r="5" spans="1:16" ht="15" customHeight="1" x14ac:dyDescent="0.25">
      <c r="A5" s="3">
        <v>4</v>
      </c>
      <c r="B5" s="4" t="s">
        <v>64</v>
      </c>
      <c r="C5" s="5">
        <v>5.7735026918962602E-2</v>
      </c>
      <c r="D5" s="4">
        <v>5</v>
      </c>
      <c r="E5" s="4">
        <v>5</v>
      </c>
      <c r="F5" s="4">
        <v>5</v>
      </c>
      <c r="G5" s="4">
        <v>4</v>
      </c>
      <c r="H5" s="6">
        <v>4734.2722073549339</v>
      </c>
      <c r="I5" s="7">
        <f t="shared" si="0"/>
        <v>4734.2722073549339</v>
      </c>
      <c r="K5" s="12">
        <v>4</v>
      </c>
      <c r="L5" s="13">
        <v>0.182574185835055</v>
      </c>
      <c r="M5" s="1" t="s">
        <v>43</v>
      </c>
      <c r="O5" s="12">
        <v>4</v>
      </c>
      <c r="P5" s="14">
        <f t="shared" si="1"/>
        <v>10000</v>
      </c>
    </row>
    <row r="6" spans="1:16" x14ac:dyDescent="0.25">
      <c r="A6" s="3">
        <v>5</v>
      </c>
      <c r="B6" s="4" t="s">
        <v>65</v>
      </c>
      <c r="C6" s="5">
        <v>0.57735026918962595</v>
      </c>
      <c r="D6" s="4">
        <v>4</v>
      </c>
      <c r="E6" s="4">
        <v>4</v>
      </c>
      <c r="F6" s="4">
        <v>4</v>
      </c>
      <c r="G6" s="4">
        <v>4</v>
      </c>
      <c r="H6" s="6">
        <v>5773.5026918962594</v>
      </c>
      <c r="I6" s="7">
        <f t="shared" si="0"/>
        <v>5773.5026918962594</v>
      </c>
      <c r="K6" s="12">
        <v>3</v>
      </c>
      <c r="L6" s="13">
        <v>5.7735026918962602E-2</v>
      </c>
      <c r="M6" s="1" t="s">
        <v>44</v>
      </c>
      <c r="O6" s="12">
        <v>3</v>
      </c>
      <c r="P6" s="14">
        <f t="shared" si="1"/>
        <v>1000</v>
      </c>
    </row>
    <row r="7" spans="1:16" x14ac:dyDescent="0.25">
      <c r="A7" s="3">
        <v>6</v>
      </c>
      <c r="B7" s="4" t="s">
        <v>66</v>
      </c>
      <c r="C7" s="5">
        <v>5.7735026918962602E-2</v>
      </c>
      <c r="D7" s="4">
        <v>6</v>
      </c>
      <c r="E7" s="4">
        <v>1</v>
      </c>
      <c r="F7" s="4">
        <v>2</v>
      </c>
      <c r="G7" s="4">
        <v>3</v>
      </c>
      <c r="H7" s="6">
        <v>23106.827943561053</v>
      </c>
      <c r="I7" s="7">
        <f t="shared" si="0"/>
        <v>23106.827943561053</v>
      </c>
      <c r="K7" s="12">
        <v>2</v>
      </c>
      <c r="L7" s="13">
        <v>1.8257418583505498E-2</v>
      </c>
      <c r="M7" s="1" t="s">
        <v>45</v>
      </c>
      <c r="O7" s="12">
        <v>2</v>
      </c>
      <c r="P7" s="14">
        <f t="shared" si="1"/>
        <v>100</v>
      </c>
    </row>
    <row r="8" spans="1:16" x14ac:dyDescent="0.25">
      <c r="A8" s="3">
        <v>7</v>
      </c>
      <c r="B8" s="4" t="s">
        <v>67</v>
      </c>
      <c r="C8" s="5">
        <v>0.182574185835055</v>
      </c>
      <c r="D8" s="4">
        <v>4</v>
      </c>
      <c r="E8" s="4">
        <v>6</v>
      </c>
      <c r="F8" s="4">
        <v>5</v>
      </c>
      <c r="G8" s="4">
        <v>5</v>
      </c>
      <c r="H8" s="6">
        <v>44548.101343753427</v>
      </c>
      <c r="I8" s="7">
        <f t="shared" si="0"/>
        <v>44548.101343753427</v>
      </c>
      <c r="K8" s="12">
        <v>1</v>
      </c>
      <c r="L8" s="13">
        <v>5.4772255750516604E-3</v>
      </c>
      <c r="M8" s="1" t="s">
        <v>46</v>
      </c>
      <c r="O8" s="12">
        <v>1</v>
      </c>
      <c r="P8" s="14">
        <f t="shared" si="1"/>
        <v>10</v>
      </c>
    </row>
    <row r="9" spans="1:16" x14ac:dyDescent="0.25">
      <c r="A9" s="3">
        <v>9</v>
      </c>
      <c r="B9" s="4" t="s">
        <v>68</v>
      </c>
      <c r="C9" s="5">
        <v>0.182574185835055</v>
      </c>
      <c r="D9" s="4">
        <v>6</v>
      </c>
      <c r="E9" s="4">
        <v>4</v>
      </c>
      <c r="F9" s="4">
        <v>4</v>
      </c>
      <c r="G9" s="4">
        <v>3</v>
      </c>
      <c r="H9" s="6">
        <v>73796.485914529228</v>
      </c>
      <c r="I9" s="7">
        <f t="shared" si="0"/>
        <v>73796.485914529228</v>
      </c>
    </row>
    <row r="10" spans="1:16" x14ac:dyDescent="0.25">
      <c r="A10" s="3">
        <v>10</v>
      </c>
      <c r="B10" s="4" t="s">
        <v>69</v>
      </c>
      <c r="C10" s="5">
        <v>5.7735026918962602E-2</v>
      </c>
      <c r="D10" s="4">
        <v>5</v>
      </c>
      <c r="E10" s="4">
        <v>5</v>
      </c>
      <c r="F10" s="4">
        <v>5</v>
      </c>
      <c r="G10" s="4">
        <v>4</v>
      </c>
      <c r="H10" s="6">
        <v>4734.2722073549339</v>
      </c>
      <c r="I10" s="7">
        <f t="shared" si="0"/>
        <v>4734.2722073549339</v>
      </c>
      <c r="K10" s="69" t="s">
        <v>70</v>
      </c>
      <c r="L10" s="69"/>
    </row>
    <row r="11" spans="1:16" x14ac:dyDescent="0.25">
      <c r="A11" s="3">
        <v>11</v>
      </c>
      <c r="B11" s="4" t="s">
        <v>71</v>
      </c>
      <c r="C11" s="5">
        <v>5.7735026918962602E-2</v>
      </c>
      <c r="D11" s="4">
        <v>4</v>
      </c>
      <c r="E11" s="4">
        <v>3</v>
      </c>
      <c r="F11" s="4">
        <v>3</v>
      </c>
      <c r="G11" s="4">
        <v>2</v>
      </c>
      <c r="H11" s="6">
        <v>255.18881898181468</v>
      </c>
      <c r="I11" s="7">
        <f t="shared" si="0"/>
        <v>255.18881898181468</v>
      </c>
      <c r="K11" s="2">
        <v>0.4</v>
      </c>
      <c r="L11" s="1" t="s">
        <v>25</v>
      </c>
    </row>
    <row r="12" spans="1:16" x14ac:dyDescent="0.25">
      <c r="A12" s="3">
        <v>12</v>
      </c>
      <c r="B12" s="4" t="s">
        <v>72</v>
      </c>
      <c r="C12" s="5">
        <v>5.7735026918962602E-2</v>
      </c>
      <c r="D12" s="4">
        <v>6</v>
      </c>
      <c r="E12" s="4">
        <v>1</v>
      </c>
      <c r="F12" s="4">
        <v>2</v>
      </c>
      <c r="G12" s="4">
        <v>3</v>
      </c>
      <c r="H12" s="6">
        <v>23106.827943561053</v>
      </c>
      <c r="I12" s="7">
        <f t="shared" si="0"/>
        <v>23106.827943561053</v>
      </c>
      <c r="K12" s="2">
        <v>0.2</v>
      </c>
      <c r="L12" s="1" t="s">
        <v>26</v>
      </c>
    </row>
    <row r="13" spans="1:16" x14ac:dyDescent="0.25">
      <c r="A13" s="3">
        <v>13</v>
      </c>
      <c r="B13" s="4" t="s">
        <v>73</v>
      </c>
      <c r="C13" s="5">
        <v>5.7735026918962602E-2</v>
      </c>
      <c r="D13" s="4">
        <v>6</v>
      </c>
      <c r="E13" s="4">
        <v>2</v>
      </c>
      <c r="F13" s="4">
        <v>2</v>
      </c>
      <c r="G13" s="4">
        <v>3</v>
      </c>
      <c r="H13" s="6">
        <v>23107.867174045594</v>
      </c>
      <c r="I13" s="7">
        <f t="shared" si="0"/>
        <v>23107.867174045594</v>
      </c>
      <c r="K13" s="2">
        <v>0.2</v>
      </c>
      <c r="L13" s="1" t="s">
        <v>27</v>
      </c>
    </row>
    <row r="14" spans="1:16" ht="15" customHeight="1" x14ac:dyDescent="0.25">
      <c r="A14" s="3">
        <v>14</v>
      </c>
      <c r="B14" s="4" t="s">
        <v>74</v>
      </c>
      <c r="C14" s="5">
        <v>0.182574185835055</v>
      </c>
      <c r="D14" s="4">
        <v>6</v>
      </c>
      <c r="E14" s="4">
        <v>3</v>
      </c>
      <c r="F14" s="4">
        <v>3</v>
      </c>
      <c r="G14" s="4">
        <v>3</v>
      </c>
      <c r="H14" s="6">
        <v>73139.218845523035</v>
      </c>
      <c r="I14" s="7">
        <f t="shared" si="0"/>
        <v>73139.218845523035</v>
      </c>
      <c r="K14" s="2">
        <v>0.2</v>
      </c>
      <c r="L14" s="1" t="s">
        <v>28</v>
      </c>
    </row>
    <row r="15" spans="1:16" x14ac:dyDescent="0.25">
      <c r="A15" s="3">
        <v>15</v>
      </c>
      <c r="B15" s="4" t="s">
        <v>75</v>
      </c>
      <c r="C15" s="5">
        <v>0.182574185835055</v>
      </c>
      <c r="D15" s="4">
        <v>4</v>
      </c>
      <c r="E15" s="4">
        <v>4</v>
      </c>
      <c r="F15" s="4">
        <v>5</v>
      </c>
      <c r="G15" s="4">
        <v>4</v>
      </c>
      <c r="H15" s="6">
        <v>5112.077203381541</v>
      </c>
      <c r="I15" s="7">
        <f t="shared" si="0"/>
        <v>5112.077203381541</v>
      </c>
    </row>
    <row r="16" spans="1:16" ht="15" customHeight="1" x14ac:dyDescent="0.25">
      <c r="A16" s="3">
        <v>16</v>
      </c>
      <c r="B16" s="4" t="s">
        <v>76</v>
      </c>
      <c r="C16" s="5">
        <v>1.8257418583505498E-2</v>
      </c>
      <c r="D16" s="4">
        <v>6</v>
      </c>
      <c r="E16" s="4">
        <v>7</v>
      </c>
      <c r="F16" s="4">
        <v>5</v>
      </c>
      <c r="G16" s="4">
        <v>5</v>
      </c>
      <c r="H16" s="6">
        <v>44548.10134375342</v>
      </c>
      <c r="I16" s="7">
        <f t="shared" si="0"/>
        <v>44548.10134375342</v>
      </c>
    </row>
    <row r="17" spans="1:9" x14ac:dyDescent="0.25">
      <c r="A17" s="3">
        <v>17</v>
      </c>
      <c r="B17" s="4" t="s">
        <v>77</v>
      </c>
      <c r="C17" s="5">
        <v>1.8257418583505498E-2</v>
      </c>
      <c r="D17" s="4">
        <v>6</v>
      </c>
      <c r="E17" s="4">
        <v>7</v>
      </c>
      <c r="F17" s="4">
        <v>5</v>
      </c>
      <c r="G17" s="4">
        <v>5</v>
      </c>
      <c r="H17" s="6">
        <v>44548.10134375342</v>
      </c>
      <c r="I17" s="7">
        <f t="shared" si="0"/>
        <v>44548.10134375342</v>
      </c>
    </row>
    <row r="18" spans="1:9" x14ac:dyDescent="0.25">
      <c r="A18" s="3">
        <v>18</v>
      </c>
      <c r="B18" s="4" t="s">
        <v>78</v>
      </c>
      <c r="C18" s="5">
        <v>5.7735026918962602E-2</v>
      </c>
      <c r="D18" s="4">
        <v>5</v>
      </c>
      <c r="E18" s="4">
        <v>3</v>
      </c>
      <c r="F18" s="4">
        <v>3</v>
      </c>
      <c r="G18" s="4">
        <v>3</v>
      </c>
      <c r="H18" s="6">
        <v>2344.0420929098818</v>
      </c>
      <c r="I18" s="7">
        <f t="shared" si="0"/>
        <v>2344.0420929098818</v>
      </c>
    </row>
    <row r="19" spans="1:9" x14ac:dyDescent="0.25">
      <c r="A19" s="3">
        <v>19</v>
      </c>
      <c r="B19" s="4" t="s">
        <v>79</v>
      </c>
      <c r="C19" s="5">
        <v>1.8257418583505498E-2</v>
      </c>
      <c r="D19" s="4">
        <v>6</v>
      </c>
      <c r="E19" s="4">
        <v>4</v>
      </c>
      <c r="F19" s="4">
        <v>3</v>
      </c>
      <c r="G19" s="4">
        <v>4</v>
      </c>
      <c r="H19" s="6">
        <v>7379.6485914529239</v>
      </c>
      <c r="I19" s="7">
        <f t="shared" si="0"/>
        <v>7379.6485914529239</v>
      </c>
    </row>
    <row r="20" spans="1:9" x14ac:dyDescent="0.25">
      <c r="A20" s="3">
        <v>20</v>
      </c>
      <c r="B20" s="4" t="s">
        <v>80</v>
      </c>
      <c r="C20" s="5">
        <v>0.57735026918962595</v>
      </c>
      <c r="D20" s="4">
        <v>7</v>
      </c>
      <c r="E20" s="4">
        <v>6</v>
      </c>
      <c r="F20" s="4">
        <v>5</v>
      </c>
      <c r="G20" s="4">
        <v>6</v>
      </c>
      <c r="H20" s="6">
        <v>2551888.1898181466</v>
      </c>
      <c r="I20" s="7">
        <f t="shared" si="0"/>
        <v>2551888.1898181466</v>
      </c>
    </row>
    <row r="21" spans="1:9" x14ac:dyDescent="0.25">
      <c r="A21" s="3">
        <v>21</v>
      </c>
      <c r="B21" s="4" t="s">
        <v>81</v>
      </c>
      <c r="C21" s="5">
        <v>0.57735026918962595</v>
      </c>
      <c r="D21" s="4">
        <v>6</v>
      </c>
      <c r="E21" s="4">
        <v>4</v>
      </c>
      <c r="F21" s="4">
        <v>3</v>
      </c>
      <c r="G21" s="4">
        <v>4</v>
      </c>
      <c r="H21" s="6">
        <v>233364.97880644683</v>
      </c>
      <c r="I21" s="7">
        <f t="shared" si="0"/>
        <v>233364.97880644683</v>
      </c>
    </row>
    <row r="22" spans="1:9" x14ac:dyDescent="0.25">
      <c r="A22" s="3">
        <v>22</v>
      </c>
      <c r="B22" s="4" t="s">
        <v>82</v>
      </c>
      <c r="C22" s="5">
        <v>5.7735026918962602E-2</v>
      </c>
      <c r="D22" s="4">
        <v>6</v>
      </c>
      <c r="E22" s="4">
        <v>5</v>
      </c>
      <c r="F22" s="4">
        <v>5</v>
      </c>
      <c r="G22" s="4">
        <v>6</v>
      </c>
      <c r="H22" s="6">
        <v>36950.417228136066</v>
      </c>
      <c r="I22" s="7">
        <f t="shared" si="0"/>
        <v>36950.417228136066</v>
      </c>
    </row>
    <row r="23" spans="1:9" x14ac:dyDescent="0.25">
      <c r="A23" s="3">
        <v>23</v>
      </c>
      <c r="B23" s="4" t="s">
        <v>83</v>
      </c>
      <c r="C23" s="5">
        <v>5.7735026918962602E-2</v>
      </c>
      <c r="D23" s="4">
        <v>5</v>
      </c>
      <c r="E23" s="4">
        <v>3</v>
      </c>
      <c r="F23" s="4">
        <v>3</v>
      </c>
      <c r="G23" s="4">
        <v>3</v>
      </c>
      <c r="H23" s="6">
        <v>2344.0420929098818</v>
      </c>
      <c r="I23" s="7">
        <f t="shared" si="0"/>
        <v>2344.0420929098818</v>
      </c>
    </row>
    <row r="24" spans="1:9" x14ac:dyDescent="0.25">
      <c r="A24" s="3">
        <v>24</v>
      </c>
      <c r="B24" s="4" t="s">
        <v>84</v>
      </c>
      <c r="C24" s="5">
        <v>1.8257418583505498E-2</v>
      </c>
      <c r="D24" s="4">
        <v>5</v>
      </c>
      <c r="E24" s="4">
        <v>5</v>
      </c>
      <c r="F24" s="4">
        <v>5</v>
      </c>
      <c r="G24" s="4">
        <v>5</v>
      </c>
      <c r="H24" s="6">
        <v>1825.74185835055</v>
      </c>
      <c r="I24" s="7">
        <f t="shared" si="0"/>
        <v>1825.74185835055</v>
      </c>
    </row>
    <row r="25" spans="1:9" ht="15" customHeight="1" x14ac:dyDescent="0.25">
      <c r="A25" s="3">
        <v>25</v>
      </c>
      <c r="B25" s="4" t="s">
        <v>1</v>
      </c>
      <c r="C25" s="5">
        <v>5.7735026918962602E-2</v>
      </c>
      <c r="D25" s="4">
        <v>5</v>
      </c>
      <c r="E25" s="4">
        <v>6</v>
      </c>
      <c r="F25" s="4">
        <v>4</v>
      </c>
      <c r="G25" s="4">
        <v>4</v>
      </c>
      <c r="H25" s="6">
        <v>14087.346568226876</v>
      </c>
      <c r="I25" s="7">
        <f t="shared" si="0"/>
        <v>14087.346568226876</v>
      </c>
    </row>
    <row r="26" spans="1:9" x14ac:dyDescent="0.25">
      <c r="A26" s="3">
        <v>26</v>
      </c>
      <c r="B26" s="4" t="s">
        <v>85</v>
      </c>
      <c r="C26" s="5">
        <v>0.57735026918962595</v>
      </c>
      <c r="D26" s="4">
        <v>6</v>
      </c>
      <c r="E26" s="4">
        <v>4</v>
      </c>
      <c r="F26" s="4">
        <v>3</v>
      </c>
      <c r="G26" s="4">
        <v>4</v>
      </c>
      <c r="H26" s="6">
        <v>233364.97880644683</v>
      </c>
      <c r="I26" s="7">
        <f t="shared" si="0"/>
        <v>233364.97880644683</v>
      </c>
    </row>
    <row r="27" spans="1:9" x14ac:dyDescent="0.25">
      <c r="A27" s="3">
        <v>27</v>
      </c>
      <c r="B27" s="4" t="s">
        <v>86</v>
      </c>
      <c r="C27" s="5">
        <v>1.8257418583505498E-2</v>
      </c>
      <c r="D27" s="4">
        <v>6</v>
      </c>
      <c r="E27" s="4">
        <v>4</v>
      </c>
      <c r="F27" s="4">
        <v>5</v>
      </c>
      <c r="G27" s="4">
        <v>6</v>
      </c>
      <c r="H27" s="6">
        <v>11356.11435894042</v>
      </c>
      <c r="I27" s="7">
        <f t="shared" si="0"/>
        <v>11356.11435894042</v>
      </c>
    </row>
    <row r="28" spans="1:9" ht="15" customHeight="1" x14ac:dyDescent="0.25">
      <c r="A28" s="3">
        <v>28</v>
      </c>
      <c r="B28" s="4" t="s">
        <v>87</v>
      </c>
      <c r="C28" s="5">
        <v>5.7735026918962602E-2</v>
      </c>
      <c r="D28" s="4">
        <v>5</v>
      </c>
      <c r="E28" s="4">
        <v>3</v>
      </c>
      <c r="F28" s="4">
        <v>3</v>
      </c>
      <c r="G28" s="4">
        <v>3</v>
      </c>
      <c r="H28" s="6">
        <v>2344.04209290988</v>
      </c>
      <c r="I28" s="7">
        <f t="shared" si="0"/>
        <v>2344.0420929098818</v>
      </c>
    </row>
    <row r="29" spans="1:9" x14ac:dyDescent="0.25">
      <c r="B29" s="4" t="s">
        <v>88</v>
      </c>
      <c r="C29" s="5">
        <v>5.7735026918962602E-2</v>
      </c>
      <c r="D29" s="4">
        <v>4</v>
      </c>
      <c r="E29" s="4">
        <v>1</v>
      </c>
      <c r="F29" s="4">
        <v>5</v>
      </c>
      <c r="G29" s="4">
        <v>4</v>
      </c>
      <c r="H29" s="6">
        <v>1501.2261699468656</v>
      </c>
      <c r="I29" s="7">
        <f t="shared" si="0"/>
        <v>1501.2261699468656</v>
      </c>
    </row>
    <row r="37" ht="15" customHeight="1" x14ac:dyDescent="0.25"/>
    <row r="39" ht="15" customHeight="1" x14ac:dyDescent="0.25"/>
    <row r="48" ht="15" customHeight="1" x14ac:dyDescent="0.25"/>
  </sheetData>
  <sheetProtection algorithmName="SHA-512" hashValue="4UiZYuNrIg6j4nIrdtPVBWWCkGBoRaUSuiBvZ3rdV4HkMDPOcaIOrsqhWbSUpwvNK8KU6fxR7B9I+RLYSvedyw==" saltValue="ZYF3tYtCA8+DBeWtTmiLIQ==" spinCount="100000" sheet="1" objects="1" scenarios="1"/>
  <sortState ref="A2:I28">
    <sortCondition ref="A2"/>
  </sortState>
  <mergeCells count="3">
    <mergeCell ref="K1:L1"/>
    <mergeCell ref="O1:P1"/>
    <mergeCell ref="K10:L1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2" ma:contentTypeDescription="Create a new document." ma:contentTypeScope="" ma:versionID="bd3593010a512bd2aa90b0c20cf1f5f4">
  <xsd:schema xmlns:xsd="http://www.w3.org/2001/XMLSchema" xmlns:xs="http://www.w3.org/2001/XMLSchema" xmlns:p="http://schemas.microsoft.com/office/2006/metadata/properties" xmlns:ns2="c9707976-b9a4-4d64-b46b-225405a11850" targetNamespace="http://schemas.microsoft.com/office/2006/metadata/properties" ma:root="true" ma:fieldsID="4c5c5e0f3adf1f87f277ab198cdd28fa" ns2:_="">
    <xsd:import namespace="c9707976-b9a4-4d64-b46b-225405a1185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627971-DF58-4EE7-B0F8-ACACDC14C3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365B31-9543-46AF-8FD9-7822D2973308}">
  <ds:schemaRefs>
    <ds:schemaRef ds:uri="http://schemas.microsoft.com/sharepoint/v3/contenttype/forms"/>
  </ds:schemaRefs>
</ds:datastoreItem>
</file>

<file path=customXml/itemProps3.xml><?xml version="1.0" encoding="utf-8"?>
<ds:datastoreItem xmlns:ds="http://schemas.openxmlformats.org/officeDocument/2006/customXml" ds:itemID="{2E1F38E5-749E-41B6-B051-CC21C01284E2}">
  <ds:schemaRefs>
    <ds:schemaRef ds:uri="c9707976-b9a4-4d64-b46b-225405a11850"/>
    <ds:schemaRef ds:uri="http://www.w3.org/XML/1998/namespace"/>
    <ds:schemaRef ds:uri="http://schemas.microsoft.com/office/2006/metadata/properties"/>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 Page</vt:lpstr>
      <vt:lpstr>Analysis</vt:lpstr>
      <vt:lpstr>Reference</vt:lpstr>
      <vt:lpstr>'Cover Page'!Print_Area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revision/>
  <dcterms:created xsi:type="dcterms:W3CDTF">2015-11-11T19:37:07Z</dcterms:created>
  <dcterms:modified xsi:type="dcterms:W3CDTF">2017-01-11T21:40:15Z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